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starks\Downloads\"/>
    </mc:Choice>
  </mc:AlternateContent>
  <xr:revisionPtr revIDLastSave="0" documentId="13_ncr:1_{ECEEF82C-97ED-48AD-ACC5-512ADCA7FA79}" xr6:coauthVersionLast="47" xr6:coauthVersionMax="47" xr10:uidLastSave="{00000000-0000-0000-0000-000000000000}"/>
  <bookViews>
    <workbookView xWindow="-108" yWindow="-108" windowWidth="23256" windowHeight="12456" xr2:uid="{39BAC26D-0FE0-4CB4-94D2-823CEF5CE660}"/>
  </bookViews>
  <sheets>
    <sheet name="District Wide" sheetId="1" r:id="rId1"/>
    <sheet name="Grade Span" sheetId="2" r:id="rId2"/>
    <sheet name="Feeder Pattern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3" l="1" a="1"/>
  <c r="C22" i="3" s="1"/>
  <c r="C6" i="3" l="1"/>
  <c r="C5" i="3"/>
  <c r="C18" i="1" a="1"/>
  <c r="C18" i="1" s="1"/>
  <c r="D15" i="1"/>
  <c r="C15" i="1"/>
  <c r="E2" i="1"/>
  <c r="E3" i="1"/>
  <c r="E4" i="1"/>
  <c r="E5" i="1"/>
  <c r="E6" i="1"/>
  <c r="E7" i="1"/>
  <c r="E8" i="1"/>
  <c r="E9" i="1"/>
  <c r="E10" i="1"/>
  <c r="E11" i="1"/>
  <c r="E12" i="1"/>
  <c r="E13" i="1"/>
  <c r="I2" i="1"/>
  <c r="I3" i="1"/>
  <c r="I4" i="1"/>
  <c r="I5" i="1"/>
  <c r="I6" i="1"/>
  <c r="I7" i="1"/>
  <c r="I8" i="1"/>
  <c r="I9" i="1"/>
  <c r="I10" i="1"/>
  <c r="I11" i="1"/>
  <c r="I12" i="1"/>
  <c r="I13" i="1"/>
  <c r="I12" i="3"/>
  <c r="I11" i="3"/>
  <c r="I10" i="3"/>
  <c r="I9" i="3"/>
  <c r="I8" i="3"/>
  <c r="I7" i="3"/>
  <c r="I4" i="3"/>
  <c r="I3" i="3"/>
  <c r="I2" i="3"/>
  <c r="I13" i="3"/>
  <c r="D19" i="3"/>
  <c r="D17" i="3"/>
  <c r="C17" i="3"/>
  <c r="C19" i="3"/>
  <c r="I7" i="2"/>
  <c r="I8" i="2"/>
  <c r="I9" i="2"/>
  <c r="I10" i="2"/>
  <c r="I11" i="2"/>
  <c r="I12" i="2"/>
  <c r="I13" i="2"/>
  <c r="I5" i="2"/>
  <c r="I6" i="2"/>
  <c r="I4" i="2"/>
  <c r="I2" i="2"/>
  <c r="I3" i="2"/>
  <c r="D18" i="2"/>
  <c r="D19" i="2"/>
  <c r="D17" i="2"/>
  <c r="C18" i="2"/>
  <c r="C19" i="2"/>
  <c r="C17" i="2"/>
  <c r="E7" i="2"/>
  <c r="E8" i="2"/>
  <c r="E9" i="2"/>
  <c r="E10" i="2"/>
  <c r="E11" i="2"/>
  <c r="E12" i="2"/>
  <c r="E13" i="2"/>
  <c r="E5" i="2"/>
  <c r="E6" i="2"/>
  <c r="E4" i="2"/>
  <c r="E2" i="2"/>
  <c r="E3" i="2"/>
  <c r="E19" i="3" l="1"/>
  <c r="E17" i="3"/>
  <c r="E15" i="1"/>
  <c r="E22" i="2"/>
  <c r="E19" i="2" l="1"/>
  <c r="E18" i="2"/>
  <c r="E13" i="3"/>
  <c r="E12" i="3"/>
  <c r="E3" i="3"/>
  <c r="E2" i="3"/>
  <c r="E11" i="3"/>
  <c r="E10" i="3"/>
  <c r="E9" i="3"/>
  <c r="E8" i="3"/>
  <c r="E7" i="3"/>
  <c r="E4" i="3"/>
  <c r="D16" i="2"/>
  <c r="C22" i="2" s="1" a="1"/>
  <c r="C22" i="2" s="1"/>
  <c r="C16" i="2"/>
  <c r="D18" i="3" l="1"/>
  <c r="D16" i="3"/>
  <c r="E17" i="2"/>
  <c r="E16" i="2"/>
  <c r="E18" i="1"/>
  <c r="I6" i="3"/>
  <c r="E6" i="3" l="1"/>
  <c r="E5" i="3"/>
  <c r="I5" i="3" l="1"/>
  <c r="E22" i="3" s="1"/>
  <c r="C16" i="3"/>
  <c r="E16" i="3" s="1"/>
  <c r="C18" i="3"/>
  <c r="E1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<sst xmlns="http://schemas.openxmlformats.org/spreadsheetml/2006/main" count="164" uniqueCount="38">
  <si>
    <t>School Name</t>
  </si>
  <si>
    <t>Low Income Students</t>
  </si>
  <si>
    <t>Total Enrollment</t>
  </si>
  <si>
    <t>Low Income %</t>
  </si>
  <si>
    <t>Total</t>
  </si>
  <si>
    <t>Grade Span</t>
  </si>
  <si>
    <t>K-5</t>
  </si>
  <si>
    <t>10-12</t>
  </si>
  <si>
    <t>HIGH SCHOOL #1</t>
  </si>
  <si>
    <t>HIGH SCHOOL #2</t>
  </si>
  <si>
    <t>MIDDLE SCHOOL #1</t>
  </si>
  <si>
    <t>MIDDLE SCHOOL #2</t>
  </si>
  <si>
    <t>ELEMENTARY SCHOOL #1</t>
  </si>
  <si>
    <t>ELEMENTARY SCHOOL #2</t>
  </si>
  <si>
    <t>ELEMENTARY SCHOOL #3</t>
  </si>
  <si>
    <t>ELEMENTARY SCHOOL #4</t>
  </si>
  <si>
    <t>ELEMENTARY SCHOOL #5</t>
  </si>
  <si>
    <t>ELEMENTARY SCHOOL #6</t>
  </si>
  <si>
    <t>ELEMENTARY SCHOOL #7</t>
  </si>
  <si>
    <t>Ranking</t>
  </si>
  <si>
    <t>Yes</t>
  </si>
  <si>
    <t>No</t>
  </si>
  <si>
    <t>MIDDLE SCHOOL #1 (Fed by Elem 2, 4, 6)</t>
  </si>
  <si>
    <t>MIDDLE SCHOOL #2 (Fed by 1, 3, 5, 7)</t>
  </si>
  <si>
    <t>Eligible?</t>
  </si>
  <si>
    <t>Eligible</t>
  </si>
  <si>
    <t>PPA</t>
  </si>
  <si>
    <t>Allocation (PPA x Low Income Students)</t>
  </si>
  <si>
    <t>Funding allocated</t>
  </si>
  <si>
    <t>Total Allocation</t>
  </si>
  <si>
    <t>District's overall PPA *1.25</t>
  </si>
  <si>
    <t>Total Funding available to schools</t>
  </si>
  <si>
    <t>Spec Exception (Yes)</t>
  </si>
  <si>
    <t>Alternative Academy</t>
  </si>
  <si>
    <t>6-9</t>
  </si>
  <si>
    <t>11-12</t>
  </si>
  <si>
    <t>Per Pupil Allocation</t>
  </si>
  <si>
    <t>Funding allocated to schools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</si>
</sst>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3">
    <xf numFmtId="0" fontId="0" fillId="0" borderId="0" xfId="0"/>
    <xf numFmtId="49" fontId="2" fillId="2" borderId="0" xfId="0" applyNumberFormat="1" applyFont="1" applyFill="1" applyAlignment="1">
      <alignment horizontal="left"/>
    </xf>
    <xf numFmtId="49" fontId="0" fillId="0" borderId="0" xfId="0" applyNumberFormat="1"/>
    <xf numFmtId="1" fontId="0" fillId="0" borderId="0" xfId="0" applyNumberFormat="1"/>
    <xf numFmtId="9" fontId="0" fillId="0" borderId="0" xfId="2" applyFont="1" applyFill="1" applyBorder="1" applyAlignment="1"/>
    <xf numFmtId="44" fontId="0" fillId="0" borderId="0" xfId="1" applyFont="1" applyFill="1" applyBorder="1"/>
    <xf numFmtId="44" fontId="0" fillId="0" borderId="0" xfId="1" applyFont="1" applyBorder="1"/>
    <xf numFmtId="0" fontId="0" fillId="4" borderId="0" xfId="0" applyFill="1"/>
    <xf numFmtId="1" fontId="0" fillId="4" borderId="0" xfId="0" applyNumberFormat="1" applyFill="1"/>
    <xf numFmtId="9" fontId="0" fillId="5" borderId="0" xfId="2" applyFont="1" applyFill="1" applyBorder="1" applyAlignment="1"/>
    <xf numFmtId="49" fontId="0" fillId="6" borderId="0" xfId="0" quotePrefix="1" applyNumberFormat="1" applyFill="1"/>
    <xf numFmtId="1" fontId="0" fillId="6" borderId="0" xfId="0" applyNumberFormat="1" applyFill="1"/>
    <xf numFmtId="9" fontId="0" fillId="6" borderId="0" xfId="2" applyFont="1" applyFill="1" applyBorder="1"/>
    <xf numFmtId="49" fontId="0" fillId="7" borderId="0" xfId="0" quotePrefix="1" applyNumberFormat="1" applyFill="1"/>
    <xf numFmtId="0" fontId="0" fillId="7" borderId="0" xfId="0" applyFill="1"/>
    <xf numFmtId="9" fontId="0" fillId="7" borderId="0" xfId="2" applyFont="1" applyFill="1" applyBorder="1"/>
    <xf numFmtId="44" fontId="0" fillId="0" borderId="0" xfId="0" applyNumberFormat="1"/>
    <xf numFmtId="9" fontId="0" fillId="0" borderId="0" xfId="2" applyFont="1" applyFill="1" applyBorder="1"/>
    <xf numFmtId="9" fontId="0" fillId="4" borderId="0" xfId="2" applyFont="1" applyFill="1" applyBorder="1"/>
    <xf numFmtId="1" fontId="0" fillId="8" borderId="0" xfId="0" applyNumberFormat="1" applyFill="1"/>
    <xf numFmtId="9" fontId="0" fillId="8" borderId="0" xfId="2" applyFont="1" applyFill="1" applyBorder="1" applyAlignment="1"/>
    <xf numFmtId="0" fontId="0" fillId="8" borderId="0" xfId="0" applyFill="1"/>
    <xf numFmtId="44" fontId="0" fillId="8" borderId="0" xfId="1" applyFont="1" applyFill="1" applyBorder="1"/>
    <xf numFmtId="49" fontId="0" fillId="8" borderId="0" xfId="0" applyNumberFormat="1" applyFill="1"/>
    <xf numFmtId="49" fontId="0" fillId="3" borderId="0" xfId="0" applyNumberFormat="1" applyFill="1"/>
    <xf numFmtId="1" fontId="0" fillId="3" borderId="0" xfId="0" applyNumberFormat="1" applyFill="1"/>
    <xf numFmtId="44" fontId="0" fillId="9" borderId="0" xfId="1" applyFont="1" applyFill="1" applyBorder="1"/>
    <xf numFmtId="0" fontId="0" fillId="10" borderId="0" xfId="0" applyFill="1"/>
    <xf numFmtId="49" fontId="0" fillId="10" borderId="0" xfId="0" quotePrefix="1" applyNumberFormat="1" applyFill="1"/>
    <xf numFmtId="9" fontId="0" fillId="10" borderId="0" xfId="2" applyFont="1" applyFill="1" applyBorder="1"/>
    <xf numFmtId="0" fontId="0" fillId="6" borderId="0" xfId="0" applyFill="1"/>
    <xf numFmtId="49" fontId="2" fillId="2" borderId="0" xfId="0" applyNumberFormat="1" applyFont="1" applyFill="1" applyAlignment="1">
      <alignment horizontal="left" wrapText="1"/>
    </xf>
    <xf numFmtId="44" fontId="2" fillId="2" borderId="0" xfId="1" applyFont="1" applyFill="1" applyBorder="1" applyAlignment="1">
      <alignment horizontal="left" wrapText="1"/>
    </xf>
    <xf numFmtId="0" fontId="0" fillId="0" borderId="0" xfId="0" applyAlignment="1">
      <alignment wrapText="1"/>
    </xf>
    <xf numFmtId="44" fontId="0" fillId="0" borderId="0" xfId="1" applyFont="1" applyBorder="1" applyAlignment="1">
      <alignment wrapText="1"/>
    </xf>
    <xf numFmtId="0" fontId="0" fillId="0" borderId="0" xfId="0" applyAlignment="1">
      <alignment horizontal="center" wrapText="1"/>
    </xf>
    <xf numFmtId="44" fontId="0" fillId="0" borderId="0" xfId="1" applyFont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44" fontId="0" fillId="0" borderId="0" xfId="1" applyFont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1" fontId="0" fillId="3" borderId="0" xfId="0" applyNumberFormat="1" applyFill="1" applyAlignment="1">
      <alignment horizontal="right" wrapText="1"/>
    </xf>
    <xf numFmtId="9" fontId="0" fillId="3" borderId="0" xfId="2" applyFont="1" applyFill="1" applyBorder="1" applyAlignment="1">
      <alignment horizontal="right" wrapText="1"/>
    </xf>
  </cellXfs>
  <cellStyles count="3">
    <cellStyle name="Currency" xfId="1" builtinId="4"/>
    <cellStyle name="Normal" xfId="0" builtinId="0"/>
    <cellStyle name="Percent" xfId="2" builtinId="5"/>
  </cellStyles>
  <dxfs count="7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general" vertical="bottom" textRotation="0" wrapText="1" indent="0" justifyLastLine="0" shrinkToFit="0" readingOrder="0"/>
    </dxf>
    <dxf>
      <numFmt numFmtId="34" formatCode="_(&quot;$&quot;* #,##0.00_);_(&quot;$&quot;* \(#,##0.00\);_(&quot;$&quot;* &quot;-&quot;??_);_(@_)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numFmt numFmtId="30" formatCode="@"/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none">
          <fgColor theme="4" tint="0.79998168889431442"/>
          <bgColor auto="1"/>
        </patternFill>
      </fill>
    </dxf>
    <dxf>
      <fill>
        <patternFill patternType="none">
          <fgColor theme="4" tint="0.79998168889431442"/>
          <bgColor auto="1"/>
        </patternFill>
      </fill>
    </dxf>
    <dxf>
      <fill>
        <patternFill patternType="none">
          <fgColor theme="4" tint="0.79998168889431442"/>
          <bgColor auto="1"/>
        </patternFill>
      </fill>
    </dxf>
    <dxf>
      <fill>
        <patternFill patternType="none">
          <fgColor theme="4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</dxf>
    <dxf>
      <numFmt numFmtId="1" formatCode="0"/>
      <fill>
        <patternFill patternType="none">
          <fgColor theme="4" tint="0.79998168889431442"/>
          <bgColor auto="1"/>
        </patternFill>
      </fill>
    </dxf>
    <dxf>
      <numFmt numFmtId="1" formatCode="0"/>
      <fill>
        <patternFill patternType="none">
          <fgColor theme="4" tint="0.79998168889431442"/>
          <bgColor auto="1"/>
        </patternFill>
      </fill>
    </dxf>
    <dxf>
      <numFmt numFmtId="30" formatCode="@"/>
      <fill>
        <patternFill patternType="none">
          <fgColor theme="4" tint="0.79998168889431442"/>
          <bgColor auto="1"/>
        </patternFill>
      </fill>
    </dxf>
    <dxf>
      <numFmt numFmtId="30" formatCode="@"/>
      <fill>
        <patternFill patternType="none">
          <fgColor theme="4" tint="0.79998168889431442"/>
          <bgColor auto="1"/>
        </patternFill>
      </fill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theme="4" tint="0.79998168889431442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numFmt numFmtId="30" formatCode="@"/>
      <fill>
        <patternFill patternType="solid">
          <fgColor theme="4"/>
          <bgColor theme="4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center" vertical="center" textRotation="0" wrapText="1" indent="0" justifyLastLine="0" shrinkToFit="0" readingOrder="0"/>
    </dxf>
    <dxf>
      <numFmt numFmtId="34" formatCode="_(&quot;$&quot;* #,##0.00_);_(&quot;$&quot;* \(#,##0.00\);_(&quot;$&quot;* &quot;-&quot;??_);_(@_)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numFmt numFmtId="30" formatCode="@"/>
      <fill>
        <patternFill patternType="solid">
          <fgColor theme="4"/>
          <bgColor theme="4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ill>
        <patternFill patternType="none">
          <fgColor theme="4" tint="0.79998168889431442"/>
          <bgColor auto="1"/>
        </patternFill>
      </fill>
    </dxf>
    <dxf>
      <fill>
        <patternFill patternType="solid">
          <fgColor indexed="64"/>
          <bgColor theme="4" tint="0.59999389629810485"/>
        </patternFill>
      </fill>
    </dxf>
    <dxf>
      <fill>
        <patternFill patternType="none">
          <fgColor theme="4" tint="0.79998168889431442"/>
          <bgColor auto="1"/>
        </patternFill>
      </fill>
    </dxf>
    <dxf>
      <fill>
        <patternFill patternType="none">
          <fgColor theme="4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numFmt numFmtId="1" formatCode="0"/>
      <fill>
        <patternFill patternType="none">
          <fgColor theme="4" tint="0.79998168889431442"/>
          <bgColor auto="1"/>
        </patternFill>
      </fill>
    </dxf>
    <dxf>
      <numFmt numFmtId="1" formatCode="0"/>
      <fill>
        <patternFill patternType="none">
          <fgColor theme="4" tint="0.79998168889431442"/>
          <bgColor auto="1"/>
        </patternFill>
      </fill>
    </dxf>
    <dxf>
      <numFmt numFmtId="30" formatCode="@"/>
      <fill>
        <patternFill patternType="none">
          <fgColor theme="4" tint="0.79998168889431442"/>
          <bgColor auto="1"/>
        </patternFill>
      </fill>
    </dxf>
    <dxf>
      <numFmt numFmtId="30" formatCode="@"/>
      <fill>
        <patternFill patternType="none">
          <fgColor theme="4" tint="0.79998168889431442"/>
          <bgColor auto="1"/>
        </patternFill>
      </fill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theme="4" tint="0.79998168889431442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numFmt numFmtId="30" formatCode="@"/>
      <fill>
        <patternFill patternType="solid">
          <fgColor theme="4"/>
          <bgColor theme="4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center"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center" vertical="bottom" textRotation="0" wrapText="1" indent="0" justifyLastLine="0" shrinkToFit="0" readingOrder="0"/>
    </dxf>
    <dxf>
      <numFmt numFmtId="34" formatCode="_(&quot;$&quot;* #,##0.00_);_(&quot;$&quot;* \(#,##0.00\);_(&quot;$&quot;* &quot;-&quot;??_);_(@_)"/>
      <fill>
        <patternFill patternType="none">
          <fgColor theme="4" tint="0.79998168889431442"/>
          <bgColor auto="1"/>
        </patternFill>
      </fill>
    </dxf>
    <dxf>
      <fill>
        <patternFill patternType="solid">
          <fgColor indexed="64"/>
          <bgColor theme="4" tint="0.59999389629810485"/>
        </patternFill>
      </fill>
    </dxf>
    <dxf>
      <fill>
        <patternFill patternType="none">
          <fgColor theme="4" tint="0.79998168889431442"/>
          <bgColor auto="1"/>
        </patternFill>
      </fill>
    </dxf>
    <dxf>
      <fill>
        <patternFill patternType="none">
          <fgColor theme="4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</dxf>
    <dxf>
      <numFmt numFmtId="1" formatCode="0"/>
      <fill>
        <patternFill patternType="none">
          <fgColor theme="4" tint="0.79998168889431442"/>
          <bgColor auto="1"/>
        </patternFill>
      </fill>
    </dxf>
    <dxf>
      <numFmt numFmtId="1" formatCode="0"/>
      <fill>
        <patternFill patternType="none">
          <fgColor theme="4" tint="0.79998168889431442"/>
          <bgColor auto="1"/>
        </patternFill>
      </fill>
    </dxf>
    <dxf>
      <numFmt numFmtId="30" formatCode="@"/>
      <fill>
        <patternFill patternType="none">
          <fgColor theme="4" tint="0.79998168889431442"/>
          <bgColor auto="1"/>
        </patternFill>
      </fill>
    </dxf>
    <dxf>
      <numFmt numFmtId="30" formatCode="@"/>
      <fill>
        <patternFill patternType="none">
          <fgColor theme="4" tint="0.79998168889431442"/>
          <bgColor auto="1"/>
        </patternFill>
      </fill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theme="4" tint="0.79998168889431442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numFmt numFmtId="30" formatCode="@"/>
      <fill>
        <patternFill patternType="solid">
          <fgColor theme="4"/>
          <bgColor theme="4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2D8803-1287-4875-BB0B-8F000E4CF3AC}" name="DistrictWide" displayName="DistrictWide" ref="A1:I13" totalsRowShown="0" headerRowDxfId="73" dataDxfId="71" headerRowBorderDxfId="72" tableBorderDxfId="70" totalsRowBorderDxfId="69">
  <autoFilter ref="A1:I13" xr:uid="{302D8803-1287-4875-BB0B-8F000E4CF3AC}"/>
  <sortState xmlns:xlrd2="http://schemas.microsoft.com/office/spreadsheetml/2017/richdata2" ref="A2:I13">
    <sortCondition ref="F1:F13"/>
  </sortState>
  <tableColumns count="9">
    <tableColumn id="5" xr3:uid="{94BB6EEF-8131-4127-BD6A-0998C4EC9D8B}" name="Grade Span" dataDxfId="68"/>
    <tableColumn id="6" xr3:uid="{D3B5EA11-BB8C-404C-B801-168242BEBA04}" name="School Name" dataDxfId="67"/>
    <tableColumn id="7" xr3:uid="{8863B947-07C3-4A67-B382-B0AB5AAB8F2C}" name="Low Income Students" dataDxfId="66"/>
    <tableColumn id="8" xr3:uid="{3375BE1C-A4EF-4B9C-96FA-6154BE79DB3E}" name="Total Enrollment" dataDxfId="65"/>
    <tableColumn id="9" xr3:uid="{2462C397-E5EB-4A5E-BDB7-9DCED21131AD}" name="Low Income %" dataDxfId="64" dataCellStyle="Percent">
      <calculatedColumnFormula>DistrictWide[[#This Row],[Low Income Students]]/DistrictWide[[#This Row],[Total Enrollment]]</calculatedColumnFormula>
    </tableColumn>
    <tableColumn id="10" xr3:uid="{F7E95F81-C461-42FF-AAE2-47B7B72EA444}" name="Ranking" dataDxfId="63"/>
    <tableColumn id="11" xr3:uid="{7021A195-F80C-42C0-BB05-011950ADA906}" name="Eligible?" dataDxfId="62"/>
    <tableColumn id="12" xr3:uid="{B6C59F31-5DEE-45E9-9D2C-9AFE15BCE097}" name="Per Pupil Allocation" dataDxfId="61" dataCellStyle="Currency"/>
    <tableColumn id="13" xr3:uid="{5D74BA9E-608C-40BE-8FEB-1830800B06E7}" name="Allocation (PPA x Low Income Students)" dataDxfId="60" dataCellStyle="Currency">
      <calculatedColumnFormula>IFERROR(DistrictWide[[#This Row],[Low Income Students]]*DistrictWide[[#This Row],[Per Pupil Allocation]],0)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61A8EAF-C4C7-4361-A1BB-F43769A20F3E}" name="Table1215" displayName="Table1215" ref="B21:B22" totalsRowShown="0" headerRowDxfId="31" dataDxfId="30" dataCellStyle="Currency">
  <autoFilter ref="B21:B22" xr:uid="{761A8EAF-C4C7-4361-A1BB-F43769A20F3E}"/>
  <tableColumns count="1">
    <tableColumn id="1" xr3:uid="{975E29F2-EAF2-40A9-91E3-41384E09F072}" name="Total Allocation" dataDxfId="29" dataCellStyle="Currency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C491496-9445-400B-A74C-1040A7BF2C7A}" name="Table1316" displayName="Table1316" ref="C21:C22" totalsRowShown="0" headerRowDxfId="28" dataDxfId="27" headerRowCellStyle="Currency" dataCellStyle="Currency">
  <autoFilter ref="C21:C22" xr:uid="{EC491496-9445-400B-A74C-1040A7BF2C7A}"/>
  <tableColumns count="1">
    <tableColumn id="1" xr3:uid="{AF881B82-EA95-42A2-8970-30FE7EA027E5}" name="District's overall PPA *1.25" dataDxfId="26" dataCellStyle="Currency">
      <calculatedColumnFormula array="1">(Table1215[Total Allocation]/D16)*1.25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C225694-9389-44BF-BFBB-1953173F8906}" name="FeederPattern" displayName="FeederPattern" ref="A1:I13" totalsRowShown="0" headerRowDxfId="25" dataDxfId="23" headerRowBorderDxfId="24" tableBorderDxfId="22" totalsRowBorderDxfId="21">
  <autoFilter ref="A1:I13" xr:uid="{BC225694-9389-44BF-BFBB-1953173F8906}"/>
  <sortState xmlns:xlrd2="http://schemas.microsoft.com/office/spreadsheetml/2017/richdata2" ref="A2:I13">
    <sortCondition ref="A1:A13"/>
  </sortState>
  <tableColumns count="9">
    <tableColumn id="5" xr3:uid="{97EB3DD4-1097-4E6E-B351-9A17FBCC9D9F}" name="Grade Span" dataDxfId="20"/>
    <tableColumn id="6" xr3:uid="{1517D043-475F-4471-9982-B57F195F50A7}" name="School Name" dataDxfId="19"/>
    <tableColumn id="7" xr3:uid="{C661482B-08BE-4F7F-8546-03AD712363AD}" name="Low Income Students" dataDxfId="18"/>
    <tableColumn id="8" xr3:uid="{E1C4E032-CCDE-4492-B8E1-48FB04F661BC}" name="Total Enrollment" dataDxfId="17"/>
    <tableColumn id="9" xr3:uid="{C21F716D-8D53-4A5B-8C07-35AD41270468}" name="Low Income %" dataDxfId="16" dataCellStyle="Percent">
      <calculatedColumnFormula>FeederPattern[[#This Row],[Low Income Students]]/FeederPattern[[#This Row],[Total Enrollment]]</calculatedColumnFormula>
    </tableColumn>
    <tableColumn id="10" xr3:uid="{FF530335-6C56-4856-A46F-EAEAF107EDFB}" name="Ranking" dataDxfId="15"/>
    <tableColumn id="11" xr3:uid="{B1AE533D-3E2F-48F7-AB1E-A339713C69E2}" name="Eligible" dataDxfId="14"/>
    <tableColumn id="12" xr3:uid="{537351FE-69FA-44B0-94C0-C347AD0FFC40}" name="PPA" dataDxfId="13"/>
    <tableColumn id="13" xr3:uid="{C5F45D0F-39C0-49D6-9BA4-719FF1D1CFDD}" name="Allocation (PPA x Low Income Students)" dataDxfId="12">
      <calculatedColumnFormula>IFERROR(FeederPattern[[#This Row],[PPA]]*FeederPattern[[#This Row],[Low Income Students]],0)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22E0EE2-EA91-445F-AEC9-1E5CB4FF7A96}" name="Table48" displayName="Table48" ref="B15:E19" totalsRowShown="0" headerRowDxfId="11">
  <autoFilter ref="B15:E19" xr:uid="{F22E0EE2-EA91-445F-AEC9-1E5CB4FF7A96}"/>
  <tableColumns count="4">
    <tableColumn id="1" xr3:uid="{9E6F9FAC-9819-4FBA-B269-953B4E7426EA}" name="Grade Span"/>
    <tableColumn id="2" xr3:uid="{6595001B-CCF7-45D7-A384-56DCE4E0CE2C}" name="Low Income Students"/>
    <tableColumn id="3" xr3:uid="{0E2D62A5-FBA9-4D47-B93A-933264ED3F91}" name="Total Enrollment"/>
    <tableColumn id="4" xr3:uid="{9F1B2B02-8FC6-4241-A2FD-307B32479AD7}" name="Low Income %" dataCellStyle="Percent">
      <calculatedColumnFormula>Table48[[#This Row],[Low Income Students]]/Table48[[#This Row],[Total Enrollment]]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E4D4338-7B01-46B0-88C9-ACAA5126A1CB}" name="Table59" displayName="Table59" ref="D21:D22" totalsRowShown="0" headerRowDxfId="10" dataDxfId="9" dataCellStyle="Currency">
  <autoFilter ref="D21:D22" xr:uid="{0E4D4338-7B01-46B0-88C9-ACAA5126A1CB}"/>
  <tableColumns count="1">
    <tableColumn id="1" xr3:uid="{29FBF560-C893-4AF4-83CD-D5FA7ACBB0CF}" name="Total Funding available to schools" dataDxfId="8" dataCellStyle="Currency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6A6896D-2E05-4DFE-A297-32ED6A9B8AE7}" name="Table610" displayName="Table610" ref="E21:E22" totalsRowShown="0" headerRowDxfId="7">
  <autoFilter ref="E21:E22" xr:uid="{46A6896D-2E05-4DFE-A297-32ED6A9B8AE7}"/>
  <tableColumns count="1">
    <tableColumn id="1" xr3:uid="{6D0BDAD6-9DA4-4D70-95C3-414F74C715FC}" name="Funding allocated to schools" dataDxfId="6">
      <calculatedColumnFormula>SUM(FeederPattern[Allocation (PPA x Low Income Students)])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FB646CD-6E06-493F-987B-9212CE94057F}" name="Table121517" displayName="Table121517" ref="B21:B22" totalsRowShown="0" headerRowDxfId="5" dataDxfId="4" dataCellStyle="Currency">
  <autoFilter ref="B21:B22" xr:uid="{6FB646CD-6E06-493F-987B-9212CE94057F}"/>
  <tableColumns count="1">
    <tableColumn id="1" xr3:uid="{736FD488-CF8A-42E1-8E4D-83535CB5280B}" name="Total Allocation" dataDxfId="3" dataCellStyle="Currency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906686E-EEA8-4B0D-B8A6-8A7CB7E44348}" name="Table131618" displayName="Table131618" ref="C21:C22" totalsRowShown="0" headerRowDxfId="2" dataDxfId="1" headerRowCellStyle="Currency" dataCellStyle="Currency">
  <autoFilter ref="C21:C22" xr:uid="{9906686E-EEA8-4B0D-B8A6-8A7CB7E44348}"/>
  <tableColumns count="1">
    <tableColumn id="1" xr3:uid="{DCF133ED-8358-4D75-BB9E-3FA0A6D37F09}" name="District's overall PPA *1.25" dataDxfId="0" dataCellStyle="Currency">
      <calculatedColumnFormula array="1">(Table121517[Total Allocation]/D16)*1.25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2C244A9A-2C86-4655-9F42-FD671C332C68}" name="Table10" displayName="Table10" ref="D17:D18" totalsRowShown="0" headerRowDxfId="59" dataCellStyle="Currency">
  <autoFilter ref="D17:D18" xr:uid="{2C244A9A-2C86-4655-9F42-FD671C332C68}"/>
  <tableColumns count="1">
    <tableColumn id="1" xr3:uid="{E67CF92E-89BA-4751-AEF5-A151FE2EFBF8}" name="Total Funding available to schools" dataCellStyle="Currenc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B3C56AF-42EC-4F3B-8E49-F7D4E6785A8D}" name="Table11" displayName="Table11" ref="E17:E18" totalsRowShown="0" headerRowDxfId="58" dataCellStyle="Currency">
  <autoFilter ref="E17:E18" xr:uid="{6B3C56AF-42EC-4F3B-8E49-F7D4E6785A8D}"/>
  <tableColumns count="1">
    <tableColumn id="1" xr3:uid="{BD909169-F332-4D8F-B470-23EB88BC6DA7}" name="Funding allocated" dataCellStyle="Currency">
      <calculatedColumnFormula>SUM(DistrictWide[Allocation (PPA x Low Income Students)])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251671B-F08B-4F7A-AFD8-C99203EED18C}" name="Table12" displayName="Table12" ref="B17:B18" totalsRowShown="0" headerRowDxfId="57" dataDxfId="56" dataCellStyle="Currency">
  <autoFilter ref="B17:B18" xr:uid="{4251671B-F08B-4F7A-AFD8-C99203EED18C}"/>
  <tableColumns count="1">
    <tableColumn id="1" xr3:uid="{C6CE2107-C8B0-467D-B811-975D64A34167}" name="Total Allocation" dataDxfId="55" dataCellStyle="Currenc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190581C-E963-463F-9A40-B106B11DCBEE}" name="Table13" displayName="Table13" ref="C17:C18" totalsRowShown="0" headerRowDxfId="54" dataDxfId="53" headerRowCellStyle="Currency" dataCellStyle="Currency">
  <autoFilter ref="C17:C18" xr:uid="{5190581C-E963-463F-9A40-B106B11DCBEE}"/>
  <tableColumns count="1">
    <tableColumn id="1" xr3:uid="{292E7D97-68DC-4D8E-9D56-EE50CAE5A98A}" name="District's overall PPA *1.25" dataDxfId="52" dataCellStyle="Currency">
      <calculatedColumnFormula array="1">(Table12[Total Allocation]/D15)*1.25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AE3B6E-FC4F-4B07-88EE-A4CCC1E4F656}" name="GradeSpan" displayName="GradeSpan" ref="A1:I13" totalsRowShown="0" headerRowDxfId="51" dataDxfId="49" headerRowBorderDxfId="50" tableBorderDxfId="48" totalsRowBorderDxfId="47">
  <autoFilter ref="A1:I13" xr:uid="{28AE3B6E-FC4F-4B07-88EE-A4CCC1E4F656}"/>
  <sortState xmlns:xlrd2="http://schemas.microsoft.com/office/spreadsheetml/2017/richdata2" ref="A2:I13">
    <sortCondition ref="A1:A13"/>
  </sortState>
  <tableColumns count="9">
    <tableColumn id="5" xr3:uid="{8E2092DB-3C04-49A5-85D0-8BF4A509CACC}" name="Grade Span" dataDxfId="46"/>
    <tableColumn id="6" xr3:uid="{27A122E5-F192-4631-817C-7877BCBFA5F5}" name="School Name" dataDxfId="45"/>
    <tableColumn id="7" xr3:uid="{B359BB20-55B6-49E5-AD25-8A00067D585B}" name="Low Income Students" dataDxfId="44"/>
    <tableColumn id="8" xr3:uid="{CEC228FB-BE57-4D10-88AE-88BAFEFD199F}" name="Total Enrollment" dataDxfId="43"/>
    <tableColumn id="9" xr3:uid="{9AD23D81-C7BB-489D-8D07-14FAB2A1C950}" name="Low Income %" dataDxfId="42" dataCellStyle="Percent">
      <calculatedColumnFormula>GradeSpan[[#This Row],[Low Income Students]]/GradeSpan[[#This Row],[Total Enrollment]]</calculatedColumnFormula>
    </tableColumn>
    <tableColumn id="10" xr3:uid="{7157A9B1-A3C6-41CB-BE20-11E57729AFF1}" name="Ranking" dataDxfId="41"/>
    <tableColumn id="11" xr3:uid="{91F0546B-1545-4FD5-BF43-F09611D6B968}" name="Eligible" dataDxfId="40"/>
    <tableColumn id="12" xr3:uid="{D5058C1D-973C-45F8-AF18-946131BAD884}" name="PPA" dataDxfId="39" dataCellStyle="Currency"/>
    <tableColumn id="13" xr3:uid="{BDFB4F64-A238-48AD-9034-1690A54FB138}" name="Allocation (PPA x Low Income Students)" dataDxfId="38" dataCellStyle="Currency">
      <calculatedColumnFormula>IFERROR(GradeSpan[[#This Row],[PPA]]*GradeSpan[[#This Row],[Low Income Students]],0)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6716755-0C6C-4A12-821C-2BF307A61EEB}" name="Table4" displayName="Table4" ref="B15:E19" totalsRowShown="0" headerRowDxfId="37">
  <autoFilter ref="B15:E19" xr:uid="{46716755-0C6C-4A12-821C-2BF307A61EEB}"/>
  <tableColumns count="4">
    <tableColumn id="1" xr3:uid="{91198184-3168-4948-9B4B-4D4B50670A17}" name="Grade Span"/>
    <tableColumn id="2" xr3:uid="{2C781D22-67AF-4FE5-B1B7-4D84A70EA599}" name="Low Income Students"/>
    <tableColumn id="3" xr3:uid="{C7CC013B-AF8A-434D-9B16-84ADF63340C6}" name="Total Enrollment"/>
    <tableColumn id="4" xr3:uid="{1D9BE73A-1DF8-425F-9DFC-BDE9277521EC}" name="Low Income %">
      <calculatedColumnFormula>C16/D16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CA3B58A-7406-4FFD-9EDA-1EED01B2C566}" name="Table5" displayName="Table5" ref="D21:D22" totalsRowShown="0" headerRowDxfId="36" dataDxfId="35" dataCellStyle="Currency">
  <autoFilter ref="D21:D22" xr:uid="{ACA3B58A-7406-4FFD-9EDA-1EED01B2C566}"/>
  <tableColumns count="1">
    <tableColumn id="1" xr3:uid="{5A06A53F-7267-4A7B-B6E4-CC6B7C55C90E}" name="Total Funding available to schools" dataDxfId="34" dataCellStyle="Currency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BEF63DF-1E97-4E29-A7FC-7D67BA266AE3}" name="Table6" displayName="Table6" ref="E21:E22" totalsRowShown="0" headerRowDxfId="33">
  <autoFilter ref="E21:E22" xr:uid="{4BEF63DF-1E97-4E29-A7FC-7D67BA266AE3}"/>
  <tableColumns count="1">
    <tableColumn id="1" xr3:uid="{4CC15DC0-BCAF-4CCB-B1B4-4495E07E1D8B}" name="Funding allocated" dataDxfId="32">
      <calculatedColumnFormula>SUM(GradeSpan[Allocation (PPA x Low Income Students)])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table" Target="../tables/table12.xml"/><Relationship Id="rId6" Type="http://schemas.openxmlformats.org/officeDocument/2006/relationships/table" Target="../tables/table17.xml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33C6B-96A5-44B0-B9E2-325E7A24B8BF}">
  <dimension ref="A1:L23"/>
  <sheetViews>
    <sheetView showGridLines="0" tabSelected="1" workbookViewId="0">
      <selection activeCell="E25" sqref="E25"/>
    </sheetView>
  </sheetViews>
  <sheetFormatPr defaultColWidth="17.7109375" defaultRowHeight="15" x14ac:dyDescent="0.25"/>
  <cols>
    <col min="1" max="1" width="14.140625" bestFit="1" customWidth="1"/>
    <col min="2" max="2" width="21.85546875" customWidth="1"/>
    <col min="3" max="3" width="17.28515625" customWidth="1"/>
    <col min="4" max="4" width="18.28515625" bestFit="1" customWidth="1"/>
    <col min="5" max="5" width="20.28515625" bestFit="1" customWidth="1"/>
    <col min="6" max="6" width="10.7109375" bestFit="1" customWidth="1"/>
    <col min="7" max="7" width="18.5703125" bestFit="1" customWidth="1"/>
    <col min="8" max="8" width="12.42578125" style="6" bestFit="1" customWidth="1"/>
    <col min="9" max="9" width="23" bestFit="1" customWidth="1"/>
  </cols>
  <sheetData>
    <row r="1" spans="1:9" s="33" customFormat="1" ht="31.5" x14ac:dyDescent="0.25">
      <c r="A1" s="31" t="s">
        <v>5</v>
      </c>
      <c r="B1" s="31" t="s">
        <v>0</v>
      </c>
      <c r="C1" s="31" t="s">
        <v>1</v>
      </c>
      <c r="D1" s="31" t="s">
        <v>2</v>
      </c>
      <c r="E1" s="31" t="s">
        <v>3</v>
      </c>
      <c r="F1" s="31" t="s">
        <v>19</v>
      </c>
      <c r="G1" s="31" t="s">
        <v>24</v>
      </c>
      <c r="H1" s="32" t="s">
        <v>36</v>
      </c>
      <c r="I1" s="31" t="s">
        <v>27</v>
      </c>
    </row>
    <row r="2" spans="1:9" x14ac:dyDescent="0.25">
      <c r="A2" s="2" t="s">
        <v>35</v>
      </c>
      <c r="B2" s="2" t="s">
        <v>33</v>
      </c>
      <c r="C2" s="3">
        <v>99</v>
      </c>
      <c r="D2" s="3">
        <v>131</v>
      </c>
      <c r="E2" s="4">
        <f>DistrictWide[[#This Row],[Low Income Students]]/DistrictWide[[#This Row],[Total Enrollment]]</f>
        <v>0.75572519083969469</v>
      </c>
      <c r="F2">
        <v>1</v>
      </c>
      <c r="G2" t="s">
        <v>20</v>
      </c>
      <c r="H2" s="26">
        <v>200</v>
      </c>
      <c r="I2" s="5">
        <f>IFERROR(DistrictWide[[#This Row],[Low Income Students]]*DistrictWide[[#This Row],[Per Pupil Allocation]],0)</f>
        <v>19800</v>
      </c>
    </row>
    <row r="3" spans="1:9" x14ac:dyDescent="0.25">
      <c r="A3" s="2" t="s">
        <v>6</v>
      </c>
      <c r="B3" s="2" t="s">
        <v>16</v>
      </c>
      <c r="C3" s="3">
        <v>363</v>
      </c>
      <c r="D3" s="3">
        <v>698</v>
      </c>
      <c r="E3" s="4">
        <f>DistrictWide[[#This Row],[Low Income Students]]/DistrictWide[[#This Row],[Total Enrollment]]</f>
        <v>0.52005730659025784</v>
      </c>
      <c r="F3">
        <v>2</v>
      </c>
      <c r="G3" t="s">
        <v>20</v>
      </c>
      <c r="H3" s="26">
        <v>140</v>
      </c>
      <c r="I3" s="5">
        <f>IFERROR(DistrictWide[[#This Row],[Low Income Students]]*DistrictWide[[#This Row],[Per Pupil Allocation]],0)</f>
        <v>50820</v>
      </c>
    </row>
    <row r="4" spans="1:9" x14ac:dyDescent="0.25">
      <c r="A4" s="2" t="s">
        <v>6</v>
      </c>
      <c r="B4" s="2" t="s">
        <v>18</v>
      </c>
      <c r="C4" s="3">
        <v>390</v>
      </c>
      <c r="D4" s="3">
        <v>774</v>
      </c>
      <c r="E4" s="4">
        <f>DistrictWide[[#This Row],[Low Income Students]]/DistrictWide[[#This Row],[Total Enrollment]]</f>
        <v>0.50387596899224807</v>
      </c>
      <c r="F4">
        <v>3</v>
      </c>
      <c r="G4" t="s">
        <v>20</v>
      </c>
      <c r="H4" s="26">
        <v>140</v>
      </c>
      <c r="I4" s="5">
        <f>IFERROR(DistrictWide[[#This Row],[Low Income Students]]*DistrictWide[[#This Row],[Per Pupil Allocation]],0)</f>
        <v>54600</v>
      </c>
    </row>
    <row r="5" spans="1:9" x14ac:dyDescent="0.25">
      <c r="A5" s="2" t="s">
        <v>6</v>
      </c>
      <c r="B5" s="2" t="s">
        <v>15</v>
      </c>
      <c r="C5" s="3">
        <v>241</v>
      </c>
      <c r="D5" s="3">
        <v>535</v>
      </c>
      <c r="E5" s="4">
        <f>DistrictWide[[#This Row],[Low Income Students]]/DistrictWide[[#This Row],[Total Enrollment]]</f>
        <v>0.45046728971962618</v>
      </c>
      <c r="F5">
        <v>4</v>
      </c>
      <c r="G5" t="s">
        <v>20</v>
      </c>
      <c r="H5" s="26">
        <v>110</v>
      </c>
      <c r="I5" s="5">
        <f>IFERROR(DistrictWide[[#This Row],[Low Income Students]]*DistrictWide[[#This Row],[Per Pupil Allocation]],0)</f>
        <v>26510</v>
      </c>
    </row>
    <row r="6" spans="1:9" x14ac:dyDescent="0.25">
      <c r="A6" s="2" t="s">
        <v>6</v>
      </c>
      <c r="B6" s="2" t="s">
        <v>13</v>
      </c>
      <c r="C6" s="3">
        <v>249</v>
      </c>
      <c r="D6" s="3">
        <v>573</v>
      </c>
      <c r="E6" s="4">
        <f>DistrictWide[[#This Row],[Low Income Students]]/DistrictWide[[#This Row],[Total Enrollment]]</f>
        <v>0.43455497382198954</v>
      </c>
      <c r="F6">
        <v>5</v>
      </c>
      <c r="G6" t="s">
        <v>20</v>
      </c>
      <c r="H6" s="26">
        <v>65</v>
      </c>
      <c r="I6" s="5">
        <f>IFERROR(DistrictWide[[#This Row],[Low Income Students]]*DistrictWide[[#This Row],[Per Pupil Allocation]],0)</f>
        <v>16185</v>
      </c>
    </row>
    <row r="7" spans="1:9" x14ac:dyDescent="0.25">
      <c r="A7" s="2" t="s">
        <v>34</v>
      </c>
      <c r="B7" s="2" t="s">
        <v>11</v>
      </c>
      <c r="C7" s="3">
        <v>345</v>
      </c>
      <c r="D7" s="3">
        <v>970</v>
      </c>
      <c r="E7" s="4">
        <f>DistrictWide[[#This Row],[Low Income Students]]/DistrictWide[[#This Row],[Total Enrollment]]</f>
        <v>0.35567010309278352</v>
      </c>
      <c r="F7">
        <v>6</v>
      </c>
      <c r="G7" t="s">
        <v>20</v>
      </c>
      <c r="H7" s="26">
        <v>40</v>
      </c>
      <c r="I7" s="5">
        <f>IFERROR(DistrictWide[[#This Row],[Low Income Students]]*DistrictWide[[#This Row],[Per Pupil Allocation]],0)</f>
        <v>13800</v>
      </c>
    </row>
    <row r="8" spans="1:9" x14ac:dyDescent="0.25">
      <c r="A8" s="2" t="s">
        <v>6</v>
      </c>
      <c r="B8" s="2" t="s">
        <v>17</v>
      </c>
      <c r="C8" s="3">
        <v>164</v>
      </c>
      <c r="D8" s="3">
        <v>462</v>
      </c>
      <c r="E8" s="4">
        <f>DistrictWide[[#This Row],[Low Income Students]]/DistrictWide[[#This Row],[Total Enrollment]]</f>
        <v>0.354978354978355</v>
      </c>
      <c r="F8">
        <v>7</v>
      </c>
      <c r="G8" t="s">
        <v>20</v>
      </c>
      <c r="H8" s="26">
        <v>35</v>
      </c>
      <c r="I8" s="5">
        <f>IFERROR(DistrictWide[[#This Row],[Low Income Students]]*DistrictWide[[#This Row],[Per Pupil Allocation]],0)</f>
        <v>5740</v>
      </c>
    </row>
    <row r="9" spans="1:9" x14ac:dyDescent="0.25">
      <c r="A9" s="2" t="s">
        <v>7</v>
      </c>
      <c r="B9" s="2" t="s">
        <v>8</v>
      </c>
      <c r="C9" s="3">
        <v>399</v>
      </c>
      <c r="D9" s="3">
        <v>1194</v>
      </c>
      <c r="E9" s="4">
        <f>DistrictWide[[#This Row],[Low Income Students]]/DistrictWide[[#This Row],[Total Enrollment]]</f>
        <v>0.33417085427135679</v>
      </c>
      <c r="F9">
        <v>8</v>
      </c>
      <c r="G9" t="s">
        <v>20</v>
      </c>
      <c r="H9" s="22">
        <v>30</v>
      </c>
      <c r="I9" s="5">
        <f>IFERROR(DistrictWide[[#This Row],[Low Income Students]]*DistrictWide[[#This Row],[Per Pupil Allocation]],0)</f>
        <v>11970</v>
      </c>
    </row>
    <row r="10" spans="1:9" x14ac:dyDescent="0.25">
      <c r="A10" s="2" t="s">
        <v>7</v>
      </c>
      <c r="B10" s="2" t="s">
        <v>9</v>
      </c>
      <c r="C10" s="3">
        <v>387</v>
      </c>
      <c r="D10" s="3">
        <v>1373</v>
      </c>
      <c r="E10" s="4">
        <f>DistrictWide[[#This Row],[Low Income Students]]/DistrictWide[[#This Row],[Total Enrollment]]</f>
        <v>0.28186453022578295</v>
      </c>
      <c r="F10">
        <v>9</v>
      </c>
      <c r="G10" t="s">
        <v>21</v>
      </c>
      <c r="H10" s="26">
        <v>0</v>
      </c>
      <c r="I10" s="5">
        <f>IFERROR(DistrictWide[[#This Row],[Low Income Students]]*DistrictWide[[#This Row],[Per Pupil Allocation]],0)</f>
        <v>0</v>
      </c>
    </row>
    <row r="11" spans="1:9" x14ac:dyDescent="0.25">
      <c r="A11" s="2" t="s">
        <v>6</v>
      </c>
      <c r="B11" s="2" t="s">
        <v>14</v>
      </c>
      <c r="C11" s="3">
        <v>109</v>
      </c>
      <c r="D11" s="3">
        <v>632</v>
      </c>
      <c r="E11" s="4">
        <f>DistrictWide[[#This Row],[Low Income Students]]/DistrictWide[[#This Row],[Total Enrollment]]</f>
        <v>0.17246835443037975</v>
      </c>
      <c r="F11">
        <v>10</v>
      </c>
      <c r="G11" t="s">
        <v>32</v>
      </c>
      <c r="H11" s="26">
        <v>0</v>
      </c>
      <c r="I11" s="5">
        <f>IFERROR(DistrictWide[[#This Row],[Low Income Students]]*DistrictWide[[#This Row],[Per Pupil Allocation]],0)</f>
        <v>0</v>
      </c>
    </row>
    <row r="12" spans="1:9" x14ac:dyDescent="0.25">
      <c r="A12" s="2" t="s">
        <v>6</v>
      </c>
      <c r="B12" s="2" t="s">
        <v>12</v>
      </c>
      <c r="C12" s="3">
        <v>114</v>
      </c>
      <c r="D12" s="3">
        <v>668</v>
      </c>
      <c r="E12" s="4">
        <f>DistrictWide[[#This Row],[Low Income Students]]/DistrictWide[[#This Row],[Total Enrollment]]</f>
        <v>0.17065868263473055</v>
      </c>
      <c r="F12">
        <v>11</v>
      </c>
      <c r="G12" t="s">
        <v>21</v>
      </c>
      <c r="H12" s="26">
        <v>0</v>
      </c>
      <c r="I12" s="5">
        <f>IFERROR(DistrictWide[[#This Row],[Low Income Students]]*DistrictWide[[#This Row],[Per Pupil Allocation]],0)</f>
        <v>0</v>
      </c>
    </row>
    <row r="13" spans="1:9" x14ac:dyDescent="0.25">
      <c r="A13" s="2" t="s">
        <v>34</v>
      </c>
      <c r="B13" s="2" t="s">
        <v>10</v>
      </c>
      <c r="C13" s="3">
        <v>110</v>
      </c>
      <c r="D13" s="3">
        <v>1310</v>
      </c>
      <c r="E13" s="4">
        <f>DistrictWide[[#This Row],[Low Income Students]]/DistrictWide[[#This Row],[Total Enrollment]]</f>
        <v>8.3969465648854963E-2</v>
      </c>
      <c r="F13">
        <v>12</v>
      </c>
      <c r="G13" t="s">
        <v>21</v>
      </c>
      <c r="H13" s="26">
        <v>0</v>
      </c>
      <c r="I13" s="5">
        <f>IFERROR(DistrictWide[[#This Row],[Low Income Students]]*DistrictWide[[#This Row],[Per Pupil Allocation]],0)</f>
        <v>0</v>
      </c>
    </row>
    <row r="15" spans="1:9" x14ac:dyDescent="0.25">
      <c r="B15" s="24" t="s">
        <v>4</v>
      </c>
      <c r="C15" s="25">
        <f>SUBTOTAL(9,C2:C13)</f>
        <v>2970</v>
      </c>
      <c r="D15" s="41">
        <f>SUBTOTAL(9,D2:D13)</f>
        <v>9320</v>
      </c>
      <c r="E15" s="42">
        <f>C15/D15</f>
        <v>0.31866952789699571</v>
      </c>
    </row>
    <row r="17" spans="2:12" ht="45" x14ac:dyDescent="0.25">
      <c r="B17" s="35" t="s">
        <v>29</v>
      </c>
      <c r="C17" s="36" t="s">
        <v>30</v>
      </c>
      <c r="D17" s="35" t="s">
        <v>31</v>
      </c>
      <c r="E17" s="35" t="s">
        <v>28</v>
      </c>
    </row>
    <row r="18" spans="2:12" x14ac:dyDescent="0.25">
      <c r="B18" s="6">
        <v>250000</v>
      </c>
      <c r="C18" s="22" cm="1">
        <f t="array" ref="C18">(Table12[Total Allocation]/D15)*1.25</f>
        <v>33.530042918454932</v>
      </c>
      <c r="D18" s="6">
        <v>200000</v>
      </c>
      <c r="E18" s="6">
        <f>SUM(DistrictWide[Allocation (PPA x Low Income Students)])</f>
        <v>199425</v>
      </c>
    </row>
    <row r="22" spans="2:12" x14ac:dyDescent="0.25">
      <c r="H22"/>
      <c r="J22" s="35"/>
      <c r="L22" s="36"/>
    </row>
    <row r="23" spans="2:12" x14ac:dyDescent="0.25">
      <c r="H23"/>
      <c r="L23" s="6"/>
    </row>
  </sheetData>
  <phoneticPr fontId="3" type="noConversion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F26E8-0ED6-48D4-8EA5-54344437627A}">
  <dimension ref="A1:I22"/>
  <sheetViews>
    <sheetView showGridLines="0" workbookViewId="0">
      <selection activeCell="C25" sqref="C25"/>
    </sheetView>
  </sheetViews>
  <sheetFormatPr defaultColWidth="8.85546875" defaultRowHeight="15" x14ac:dyDescent="0.25"/>
  <cols>
    <col min="1" max="1" width="14.140625" bestFit="1" customWidth="1"/>
    <col min="2" max="2" width="21.85546875" customWidth="1"/>
    <col min="3" max="3" width="23.28515625" bestFit="1" customWidth="1"/>
    <col min="4" max="4" width="18.28515625" bestFit="1" customWidth="1"/>
    <col min="5" max="5" width="20.28515625" bestFit="1" customWidth="1"/>
    <col min="6" max="6" width="10.7109375" bestFit="1" customWidth="1"/>
    <col min="7" max="7" width="22.85546875" bestFit="1" customWidth="1"/>
    <col min="8" max="8" width="8.7109375" style="6" bestFit="1" customWidth="1"/>
    <col min="9" max="9" width="23" bestFit="1" customWidth="1"/>
  </cols>
  <sheetData>
    <row r="1" spans="1:9" s="33" customFormat="1" ht="31.5" x14ac:dyDescent="0.25">
      <c r="A1" s="31" t="s">
        <v>5</v>
      </c>
      <c r="B1" s="31" t="s">
        <v>0</v>
      </c>
      <c r="C1" s="31" t="s">
        <v>1</v>
      </c>
      <c r="D1" s="31" t="s">
        <v>2</v>
      </c>
      <c r="E1" s="31" t="s">
        <v>3</v>
      </c>
      <c r="F1" s="31" t="s">
        <v>19</v>
      </c>
      <c r="G1" s="31" t="s">
        <v>25</v>
      </c>
      <c r="H1" s="32" t="s">
        <v>26</v>
      </c>
      <c r="I1" s="31" t="s">
        <v>27</v>
      </c>
    </row>
    <row r="2" spans="1:9" x14ac:dyDescent="0.25">
      <c r="A2" s="2" t="s">
        <v>7</v>
      </c>
      <c r="B2" s="2" t="s">
        <v>8</v>
      </c>
      <c r="C2" s="3">
        <v>399</v>
      </c>
      <c r="D2" s="3">
        <v>1194</v>
      </c>
      <c r="E2" s="4">
        <f>GradeSpan[[#This Row],[Low Income Students]]/GradeSpan[[#This Row],[Total Enrollment]]</f>
        <v>0.33417085427135679</v>
      </c>
      <c r="F2" s="27">
        <v>1</v>
      </c>
      <c r="G2" t="s">
        <v>20</v>
      </c>
      <c r="H2" s="22">
        <v>33.53</v>
      </c>
      <c r="I2" s="5">
        <f>IFERROR(GradeSpan[[#This Row],[PPA]]*GradeSpan[[#This Row],[Low Income Students]],0)</f>
        <v>13378.470000000001</v>
      </c>
    </row>
    <row r="3" spans="1:9" x14ac:dyDescent="0.25">
      <c r="A3" s="2" t="s">
        <v>7</v>
      </c>
      <c r="B3" s="2" t="s">
        <v>9</v>
      </c>
      <c r="C3" s="3">
        <v>387</v>
      </c>
      <c r="D3" s="3">
        <v>1373</v>
      </c>
      <c r="E3" s="4">
        <f>GradeSpan[[#This Row],[Low Income Students]]/GradeSpan[[#This Row],[Total Enrollment]]</f>
        <v>0.28186453022578295</v>
      </c>
      <c r="F3" s="27">
        <v>2</v>
      </c>
      <c r="G3" t="s">
        <v>21</v>
      </c>
      <c r="H3" s="26">
        <v>0</v>
      </c>
      <c r="I3" s="5">
        <f>IFERROR(GradeSpan[[#This Row],[PPA]]*GradeSpan[[#This Row],[Low Income Students]],0)</f>
        <v>0</v>
      </c>
    </row>
    <row r="4" spans="1:9" x14ac:dyDescent="0.25">
      <c r="A4" s="2" t="s">
        <v>35</v>
      </c>
      <c r="B4" s="2" t="s">
        <v>33</v>
      </c>
      <c r="C4" s="3">
        <v>99</v>
      </c>
      <c r="D4" s="3">
        <v>131</v>
      </c>
      <c r="E4" s="4">
        <f>GradeSpan[[#This Row],[Low Income Students]]/GradeSpan[[#This Row],[Total Enrollment]]</f>
        <v>0.75572519083969469</v>
      </c>
      <c r="F4">
        <v>1</v>
      </c>
      <c r="G4" t="s">
        <v>20</v>
      </c>
      <c r="H4" s="26">
        <v>300</v>
      </c>
      <c r="I4" s="5">
        <f>IFERROR(GradeSpan[[#This Row],[PPA]]*GradeSpan[[#This Row],[Low Income Students]],0)</f>
        <v>29700</v>
      </c>
    </row>
    <row r="5" spans="1:9" x14ac:dyDescent="0.25">
      <c r="A5" s="2" t="s">
        <v>34</v>
      </c>
      <c r="B5" s="2" t="s">
        <v>11</v>
      </c>
      <c r="C5" s="3">
        <v>345</v>
      </c>
      <c r="D5" s="3">
        <v>970</v>
      </c>
      <c r="E5" s="4">
        <f>GradeSpan[[#This Row],[Low Income Students]]/GradeSpan[[#This Row],[Total Enrollment]]</f>
        <v>0.35567010309278352</v>
      </c>
      <c r="F5" s="30">
        <v>1</v>
      </c>
      <c r="G5" t="s">
        <v>20</v>
      </c>
      <c r="H5" s="26">
        <v>38</v>
      </c>
      <c r="I5" s="5">
        <f>IFERROR(GradeSpan[[#This Row],[PPA]]*GradeSpan[[#This Row],[Low Income Students]],0)</f>
        <v>13110</v>
      </c>
    </row>
    <row r="6" spans="1:9" x14ac:dyDescent="0.25">
      <c r="A6" s="2" t="s">
        <v>34</v>
      </c>
      <c r="B6" s="2" t="s">
        <v>10</v>
      </c>
      <c r="C6" s="3">
        <v>110</v>
      </c>
      <c r="D6" s="3">
        <v>1310</v>
      </c>
      <c r="E6" s="4">
        <f>GradeSpan[[#This Row],[Low Income Students]]/GradeSpan[[#This Row],[Total Enrollment]]</f>
        <v>8.3969465648854963E-2</v>
      </c>
      <c r="F6" s="30">
        <v>2</v>
      </c>
      <c r="G6" t="s">
        <v>21</v>
      </c>
      <c r="H6" s="26">
        <v>0</v>
      </c>
      <c r="I6" s="5">
        <f>IFERROR(GradeSpan[[#This Row],[PPA]]*GradeSpan[[#This Row],[Low Income Students]],0)</f>
        <v>0</v>
      </c>
    </row>
    <row r="7" spans="1:9" x14ac:dyDescent="0.25">
      <c r="A7" s="2" t="s">
        <v>6</v>
      </c>
      <c r="B7" s="2" t="s">
        <v>16</v>
      </c>
      <c r="C7" s="3">
        <v>363</v>
      </c>
      <c r="D7" s="3">
        <v>698</v>
      </c>
      <c r="E7" s="4">
        <f>GradeSpan[[#This Row],[Low Income Students]]/GradeSpan[[#This Row],[Total Enrollment]]</f>
        <v>0.52005730659025784</v>
      </c>
      <c r="F7" s="7">
        <v>1</v>
      </c>
      <c r="G7" t="s">
        <v>20</v>
      </c>
      <c r="H7" s="26">
        <v>100</v>
      </c>
      <c r="I7" s="5">
        <f>IFERROR(GradeSpan[[#This Row],[PPA]]*GradeSpan[[#This Row],[Low Income Students]],0)</f>
        <v>36300</v>
      </c>
    </row>
    <row r="8" spans="1:9" x14ac:dyDescent="0.25">
      <c r="A8" s="2" t="s">
        <v>6</v>
      </c>
      <c r="B8" s="2" t="s">
        <v>18</v>
      </c>
      <c r="C8" s="3">
        <v>390</v>
      </c>
      <c r="D8" s="3">
        <v>774</v>
      </c>
      <c r="E8" s="4">
        <f>GradeSpan[[#This Row],[Low Income Students]]/GradeSpan[[#This Row],[Total Enrollment]]</f>
        <v>0.50387596899224807</v>
      </c>
      <c r="F8" s="7">
        <v>2</v>
      </c>
      <c r="G8" t="s">
        <v>20</v>
      </c>
      <c r="H8" s="26">
        <v>95</v>
      </c>
      <c r="I8" s="5">
        <f>IFERROR(GradeSpan[[#This Row],[PPA]]*GradeSpan[[#This Row],[Low Income Students]],0)</f>
        <v>37050</v>
      </c>
    </row>
    <row r="9" spans="1:9" x14ac:dyDescent="0.25">
      <c r="A9" s="2" t="s">
        <v>6</v>
      </c>
      <c r="B9" s="2" t="s">
        <v>15</v>
      </c>
      <c r="C9" s="3">
        <v>241</v>
      </c>
      <c r="D9" s="3">
        <v>535</v>
      </c>
      <c r="E9" s="4">
        <f>GradeSpan[[#This Row],[Low Income Students]]/GradeSpan[[#This Row],[Total Enrollment]]</f>
        <v>0.45046728971962618</v>
      </c>
      <c r="F9" s="7">
        <v>3</v>
      </c>
      <c r="G9" t="s">
        <v>20</v>
      </c>
      <c r="H9" s="26">
        <v>95</v>
      </c>
      <c r="I9" s="5">
        <f>IFERROR(GradeSpan[[#This Row],[PPA]]*GradeSpan[[#This Row],[Low Income Students]],0)</f>
        <v>22895</v>
      </c>
    </row>
    <row r="10" spans="1:9" x14ac:dyDescent="0.25">
      <c r="A10" s="2" t="s">
        <v>6</v>
      </c>
      <c r="B10" s="2" t="s">
        <v>13</v>
      </c>
      <c r="C10" s="3">
        <v>249</v>
      </c>
      <c r="D10" s="3">
        <v>573</v>
      </c>
      <c r="E10" s="4">
        <f>GradeSpan[[#This Row],[Low Income Students]]/GradeSpan[[#This Row],[Total Enrollment]]</f>
        <v>0.43455497382198954</v>
      </c>
      <c r="F10" s="7">
        <v>4</v>
      </c>
      <c r="G10" t="s">
        <v>20</v>
      </c>
      <c r="H10" s="26">
        <v>95</v>
      </c>
      <c r="I10" s="5">
        <f>IFERROR(GradeSpan[[#This Row],[PPA]]*GradeSpan[[#This Row],[Low Income Students]],0)</f>
        <v>23655</v>
      </c>
    </row>
    <row r="11" spans="1:9" x14ac:dyDescent="0.25">
      <c r="A11" s="2" t="s">
        <v>6</v>
      </c>
      <c r="B11" s="2" t="s">
        <v>17</v>
      </c>
      <c r="C11" s="3">
        <v>164</v>
      </c>
      <c r="D11" s="3">
        <v>462</v>
      </c>
      <c r="E11" s="4">
        <f>GradeSpan[[#This Row],[Low Income Students]]/GradeSpan[[#This Row],[Total Enrollment]]</f>
        <v>0.354978354978355</v>
      </c>
      <c r="F11" s="7">
        <v>5</v>
      </c>
      <c r="G11" t="s">
        <v>20</v>
      </c>
      <c r="H11" s="26">
        <v>95</v>
      </c>
      <c r="I11" s="5">
        <f>IFERROR(GradeSpan[[#This Row],[PPA]]*GradeSpan[[#This Row],[Low Income Students]],0)</f>
        <v>15580</v>
      </c>
    </row>
    <row r="12" spans="1:9" x14ac:dyDescent="0.25">
      <c r="A12" s="2" t="s">
        <v>6</v>
      </c>
      <c r="B12" s="2" t="s">
        <v>14</v>
      </c>
      <c r="C12" s="3">
        <v>117</v>
      </c>
      <c r="D12" s="3">
        <v>632</v>
      </c>
      <c r="E12" s="4">
        <f>GradeSpan[[#This Row],[Low Income Students]]/GradeSpan[[#This Row],[Total Enrollment]]</f>
        <v>0.185126582278481</v>
      </c>
      <c r="F12" s="7">
        <v>6</v>
      </c>
      <c r="G12" t="s">
        <v>32</v>
      </c>
      <c r="H12" s="22">
        <v>71</v>
      </c>
      <c r="I12" s="5">
        <f>IFERROR(GradeSpan[[#This Row],[PPA]]*GradeSpan[[#This Row],[Low Income Students]],0)</f>
        <v>8307</v>
      </c>
    </row>
    <row r="13" spans="1:9" x14ac:dyDescent="0.25">
      <c r="A13" s="2" t="s">
        <v>6</v>
      </c>
      <c r="B13" s="2" t="s">
        <v>12</v>
      </c>
      <c r="C13" s="3">
        <v>114</v>
      </c>
      <c r="D13" s="3">
        <v>668</v>
      </c>
      <c r="E13" s="4">
        <f>GradeSpan[[#This Row],[Low Income Students]]/GradeSpan[[#This Row],[Total Enrollment]]</f>
        <v>0.17065868263473055</v>
      </c>
      <c r="F13" s="7">
        <v>7</v>
      </c>
      <c r="G13" t="s">
        <v>21</v>
      </c>
      <c r="H13" s="26">
        <v>0</v>
      </c>
      <c r="I13" s="5">
        <f>IFERROR(GradeSpan[[#This Row],[PPA]]*GradeSpan[[#This Row],[Low Income Students]],0)</f>
        <v>0</v>
      </c>
    </row>
    <row r="15" spans="1:9" s="33" customFormat="1" ht="15.75" x14ac:dyDescent="0.25">
      <c r="B15" t="s">
        <v>5</v>
      </c>
      <c r="C15" s="1" t="s">
        <v>1</v>
      </c>
      <c r="D15" s="1" t="s">
        <v>2</v>
      </c>
      <c r="E15" s="1" t="s">
        <v>3</v>
      </c>
    </row>
    <row r="16" spans="1:9" x14ac:dyDescent="0.25">
      <c r="B16" s="2" t="s">
        <v>4</v>
      </c>
      <c r="C16" s="3">
        <f>SUBTOTAL(9,C2:C13)</f>
        <v>2978</v>
      </c>
      <c r="D16" s="3">
        <f>SUBTOTAL(9,D2:D13)</f>
        <v>9320</v>
      </c>
      <c r="E16" s="4">
        <f>C16/D16</f>
        <v>0.31952789699570816</v>
      </c>
    </row>
    <row r="17" spans="2:8" x14ac:dyDescent="0.25">
      <c r="B17" s="7" t="s">
        <v>6</v>
      </c>
      <c r="C17" s="8">
        <f>SUMIF(GradeSpan[Grade Span],Table4[[#This Row],[Grade Span]],GradeSpan[Low Income Students])</f>
        <v>1638</v>
      </c>
      <c r="D17" s="8">
        <f>SUMIF(GradeSpan[Grade Span],Table4[[#This Row],[Grade Span]],GradeSpan[Total Enrollment])</f>
        <v>4342</v>
      </c>
      <c r="E17" s="9">
        <f>C17/D17</f>
        <v>0.3772455089820359</v>
      </c>
    </row>
    <row r="18" spans="2:8" x14ac:dyDescent="0.25">
      <c r="B18" s="10" t="s">
        <v>34</v>
      </c>
      <c r="C18" s="11">
        <f>SUMIF(GradeSpan[Grade Span],Table4[[#This Row],[Grade Span]],GradeSpan[Low Income Students])</f>
        <v>455</v>
      </c>
      <c r="D18" s="11">
        <f>SUMIF(GradeSpan[Grade Span],Table4[[#This Row],[Grade Span]],GradeSpan[Total Enrollment])</f>
        <v>2280</v>
      </c>
      <c r="E18" s="12">
        <f>C18/D18</f>
        <v>0.19956140350877194</v>
      </c>
    </row>
    <row r="19" spans="2:8" x14ac:dyDescent="0.25">
      <c r="B19" s="28" t="s">
        <v>7</v>
      </c>
      <c r="C19" s="27">
        <f>SUMIF(GradeSpan[Grade Span],Table4[[#This Row],[Grade Span]],GradeSpan[Low Income Students])</f>
        <v>786</v>
      </c>
      <c r="D19" s="27">
        <f>SUMIF(GradeSpan[Grade Span],Table4[[#This Row],[Grade Span]],GradeSpan[Total Enrollment])</f>
        <v>2567</v>
      </c>
      <c r="E19" s="29">
        <f>C19/D19</f>
        <v>0.30619400077911957</v>
      </c>
    </row>
    <row r="21" spans="2:8" ht="45" x14ac:dyDescent="0.25">
      <c r="B21" s="37" t="s">
        <v>29</v>
      </c>
      <c r="C21" s="38" t="s">
        <v>30</v>
      </c>
      <c r="D21" s="37" t="s">
        <v>31</v>
      </c>
      <c r="E21" s="37" t="s">
        <v>28</v>
      </c>
      <c r="F21" s="37"/>
      <c r="H21" s="38"/>
    </row>
    <row r="22" spans="2:8" x14ac:dyDescent="0.25">
      <c r="B22" s="6">
        <v>250000</v>
      </c>
      <c r="C22" s="22" cm="1">
        <f t="array" ref="C22">(Table1215[Total Allocation]/D16)*1.25</f>
        <v>33.530042918454932</v>
      </c>
      <c r="D22" s="6">
        <v>200000</v>
      </c>
      <c r="E22" s="16">
        <f>SUM(GradeSpan[Allocation (PPA x Low Income Students)])</f>
        <v>199975.47</v>
      </c>
    </row>
  </sheetData>
  <phoneticPr fontId="3" type="noConversion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FC1C1-8945-4871-9375-FA60A4FD0DBE}">
  <dimension ref="A1:I22"/>
  <sheetViews>
    <sheetView showGridLines="0" workbookViewId="0">
      <selection activeCell="G23" sqref="G23"/>
    </sheetView>
  </sheetViews>
  <sheetFormatPr defaultColWidth="8.85546875" defaultRowHeight="15" x14ac:dyDescent="0.25"/>
  <cols>
    <col min="1" max="1" width="14.140625" customWidth="1"/>
    <col min="2" max="2" width="35" bestFit="1" customWidth="1"/>
    <col min="3" max="3" width="23.28515625" bestFit="1" customWidth="1"/>
    <col min="4" max="4" width="18.28515625" bestFit="1" customWidth="1"/>
    <col min="5" max="5" width="18" bestFit="1" customWidth="1"/>
    <col min="6" max="6" width="10.7109375" bestFit="1" customWidth="1"/>
    <col min="7" max="7" width="20.7109375" bestFit="1" customWidth="1"/>
    <col min="8" max="8" width="8.7109375" bestFit="1" customWidth="1"/>
    <col min="9" max="9" width="23" bestFit="1" customWidth="1"/>
  </cols>
  <sheetData>
    <row r="1" spans="1:9" s="33" customFormat="1" ht="31.5" x14ac:dyDescent="0.25">
      <c r="A1" s="31" t="s">
        <v>5</v>
      </c>
      <c r="B1" s="31" t="s">
        <v>0</v>
      </c>
      <c r="C1" s="31" t="s">
        <v>1</v>
      </c>
      <c r="D1" s="31" t="s">
        <v>2</v>
      </c>
      <c r="E1" s="31" t="s">
        <v>3</v>
      </c>
      <c r="F1" s="31" t="s">
        <v>19</v>
      </c>
      <c r="G1" s="31" t="s">
        <v>25</v>
      </c>
      <c r="H1" s="39" t="s">
        <v>26</v>
      </c>
      <c r="I1" s="40" t="s">
        <v>27</v>
      </c>
    </row>
    <row r="2" spans="1:9" x14ac:dyDescent="0.25">
      <c r="A2" s="2" t="s">
        <v>7</v>
      </c>
      <c r="B2" s="2" t="s">
        <v>8</v>
      </c>
      <c r="C2" s="3">
        <v>399</v>
      </c>
      <c r="D2" s="3">
        <v>1194</v>
      </c>
      <c r="E2" s="4">
        <f>FeederPattern[[#This Row],[Low Income Students]]/FeederPattern[[#This Row],[Total Enrollment]]</f>
        <v>0.33417085427135679</v>
      </c>
      <c r="F2">
        <v>1</v>
      </c>
      <c r="G2" t="s">
        <v>20</v>
      </c>
      <c r="H2" s="5">
        <v>0</v>
      </c>
      <c r="I2" s="5">
        <f>IFERROR(FeederPattern[[#This Row],[PPA]]*FeederPattern[[#This Row],[Low Income Students]],0)</f>
        <v>0</v>
      </c>
    </row>
    <row r="3" spans="1:9" x14ac:dyDescent="0.25">
      <c r="A3" s="2" t="s">
        <v>7</v>
      </c>
      <c r="B3" s="2" t="s">
        <v>9</v>
      </c>
      <c r="C3" s="3">
        <v>387</v>
      </c>
      <c r="D3" s="3">
        <v>1373</v>
      </c>
      <c r="E3" s="4">
        <f>FeederPattern[[#This Row],[Low Income Students]]/FeederPattern[[#This Row],[Total Enrollment]]</f>
        <v>0.28186453022578295</v>
      </c>
      <c r="F3">
        <v>2</v>
      </c>
      <c r="G3" t="s">
        <v>21</v>
      </c>
      <c r="H3" s="5">
        <v>0</v>
      </c>
      <c r="I3" s="5">
        <f>IFERROR(FeederPattern[[#This Row],[PPA]]*FeederPattern[[#This Row],[Low Income Students]],0)</f>
        <v>0</v>
      </c>
    </row>
    <row r="4" spans="1:9" x14ac:dyDescent="0.25">
      <c r="A4" s="2" t="s">
        <v>35</v>
      </c>
      <c r="B4" s="2" t="s">
        <v>33</v>
      </c>
      <c r="C4" s="3">
        <v>99</v>
      </c>
      <c r="D4" s="3">
        <v>131</v>
      </c>
      <c r="E4" s="4">
        <f>FeederPattern[[#This Row],[Low Income Students]]/FeederPattern[[#This Row],[Total Enrollment]]</f>
        <v>0.75572519083969469</v>
      </c>
      <c r="F4">
        <v>1</v>
      </c>
      <c r="G4" t="s">
        <v>20</v>
      </c>
      <c r="H4" s="5">
        <v>300</v>
      </c>
      <c r="I4" s="5">
        <f>IFERROR(FeederPattern[[#This Row],[PPA]]*FeederPattern[[#This Row],[Low Income Students]],0)</f>
        <v>29700</v>
      </c>
    </row>
    <row r="5" spans="1:9" x14ac:dyDescent="0.25">
      <c r="A5" s="23" t="s">
        <v>34</v>
      </c>
      <c r="B5" s="23" t="s">
        <v>22</v>
      </c>
      <c r="C5" s="19">
        <f>((C9+C10+C11)/(D11+D9+D10))*FeederPattern[[#This Row],[Total Enrollment]]</f>
        <v>404.06369426751593</v>
      </c>
      <c r="D5" s="19">
        <v>970</v>
      </c>
      <c r="E5" s="20">
        <f>FeederPattern[[#This Row],[Low Income Students]]/FeederPattern[[#This Row],[Total Enrollment]]</f>
        <v>0.41656050955414015</v>
      </c>
      <c r="F5" s="21">
        <v>1</v>
      </c>
      <c r="G5" s="21" t="s">
        <v>20</v>
      </c>
      <c r="H5" s="22">
        <v>100</v>
      </c>
      <c r="I5" s="22">
        <f>IFERROR(FeederPattern[[#This Row],[PPA]]*FeederPattern[[#This Row],[Low Income Students]],0)</f>
        <v>40406.369426751589</v>
      </c>
    </row>
    <row r="6" spans="1:9" x14ac:dyDescent="0.25">
      <c r="A6" s="23" t="s">
        <v>34</v>
      </c>
      <c r="B6" s="23" t="s">
        <v>23</v>
      </c>
      <c r="C6" s="19">
        <f>((C8+C7+C13+C12)/(D8+D7+D13+D12))*FeederPattern[[#This Row],[Total Enrollment]]</f>
        <v>466.91197691197692</v>
      </c>
      <c r="D6" s="19">
        <v>1310</v>
      </c>
      <c r="E6" s="20">
        <f>FeederPattern[[#This Row],[Low Income Students]]/FeederPattern[[#This Row],[Total Enrollment]]</f>
        <v>0.35642135642135642</v>
      </c>
      <c r="F6" s="21">
        <v>2</v>
      </c>
      <c r="G6" s="21" t="s">
        <v>20</v>
      </c>
      <c r="H6" s="22">
        <v>75</v>
      </c>
      <c r="I6" s="22">
        <f>IFERROR(FeederPattern[[#This Row],[PPA]]*FeederPattern[[#This Row],[Low Income Students]],0)</f>
        <v>35018.398268398269</v>
      </c>
    </row>
    <row r="7" spans="1:9" x14ac:dyDescent="0.25">
      <c r="A7" s="2" t="s">
        <v>6</v>
      </c>
      <c r="B7" s="2" t="s">
        <v>16</v>
      </c>
      <c r="C7" s="3">
        <v>363</v>
      </c>
      <c r="D7" s="3">
        <v>698</v>
      </c>
      <c r="E7" s="4">
        <f>FeederPattern[[#This Row],[Low Income Students]]/FeederPattern[[#This Row],[Total Enrollment]]</f>
        <v>0.52005730659025784</v>
      </c>
      <c r="F7">
        <v>1</v>
      </c>
      <c r="G7" t="s">
        <v>20</v>
      </c>
      <c r="H7" s="5">
        <v>85</v>
      </c>
      <c r="I7" s="5">
        <f>IFERROR(FeederPattern[[#This Row],[PPA]]*FeederPattern[[#This Row],[Low Income Students]],0)</f>
        <v>30855</v>
      </c>
    </row>
    <row r="8" spans="1:9" x14ac:dyDescent="0.25">
      <c r="A8" s="2" t="s">
        <v>6</v>
      </c>
      <c r="B8" s="2" t="s">
        <v>18</v>
      </c>
      <c r="C8" s="3">
        <v>390</v>
      </c>
      <c r="D8" s="3">
        <v>774</v>
      </c>
      <c r="E8" s="4">
        <f>FeederPattern[[#This Row],[Low Income Students]]/FeederPattern[[#This Row],[Total Enrollment]]</f>
        <v>0.50387596899224807</v>
      </c>
      <c r="F8">
        <v>2</v>
      </c>
      <c r="G8" t="s">
        <v>20</v>
      </c>
      <c r="H8" s="5">
        <v>68</v>
      </c>
      <c r="I8" s="5">
        <f>IFERROR(FeederPattern[[#This Row],[PPA]]*FeederPattern[[#This Row],[Low Income Students]],0)</f>
        <v>26520</v>
      </c>
    </row>
    <row r="9" spans="1:9" x14ac:dyDescent="0.25">
      <c r="A9" s="2" t="s">
        <v>6</v>
      </c>
      <c r="B9" s="2" t="s">
        <v>15</v>
      </c>
      <c r="C9" s="3">
        <v>241</v>
      </c>
      <c r="D9" s="3">
        <v>535</v>
      </c>
      <c r="E9" s="4">
        <f>FeederPattern[[#This Row],[Low Income Students]]/FeederPattern[[#This Row],[Total Enrollment]]</f>
        <v>0.45046728971962618</v>
      </c>
      <c r="F9">
        <v>3</v>
      </c>
      <c r="G9" t="s">
        <v>20</v>
      </c>
      <c r="H9" s="5">
        <v>60</v>
      </c>
      <c r="I9" s="5">
        <f>IFERROR(FeederPattern[[#This Row],[PPA]]*FeederPattern[[#This Row],[Low Income Students]],0)</f>
        <v>14460</v>
      </c>
    </row>
    <row r="10" spans="1:9" x14ac:dyDescent="0.25">
      <c r="A10" s="2" t="s">
        <v>6</v>
      </c>
      <c r="B10" s="2" t="s">
        <v>13</v>
      </c>
      <c r="C10" s="3">
        <v>249</v>
      </c>
      <c r="D10" s="3">
        <v>573</v>
      </c>
      <c r="E10" s="4">
        <f>FeederPattern[[#This Row],[Low Income Students]]/FeederPattern[[#This Row],[Total Enrollment]]</f>
        <v>0.43455497382198954</v>
      </c>
      <c r="F10">
        <v>4</v>
      </c>
      <c r="G10" t="s">
        <v>20</v>
      </c>
      <c r="H10" s="5">
        <v>60</v>
      </c>
      <c r="I10" s="5">
        <f>IFERROR(FeederPattern[[#This Row],[PPA]]*FeederPattern[[#This Row],[Low Income Students]],0)</f>
        <v>14940</v>
      </c>
    </row>
    <row r="11" spans="1:9" x14ac:dyDescent="0.25">
      <c r="A11" s="2" t="s">
        <v>6</v>
      </c>
      <c r="B11" s="2" t="s">
        <v>17</v>
      </c>
      <c r="C11" s="3">
        <v>164</v>
      </c>
      <c r="D11" s="3">
        <v>462</v>
      </c>
      <c r="E11" s="4">
        <f>FeederPattern[[#This Row],[Low Income Students]]/FeederPattern[[#This Row],[Total Enrollment]]</f>
        <v>0.354978354978355</v>
      </c>
      <c r="F11">
        <v>5</v>
      </c>
      <c r="G11" t="s">
        <v>20</v>
      </c>
      <c r="H11" s="5">
        <v>49</v>
      </c>
      <c r="I11" s="5">
        <f>IFERROR(FeederPattern[[#This Row],[PPA]]*FeederPattern[[#This Row],[Low Income Students]],0)</f>
        <v>8036</v>
      </c>
    </row>
    <row r="12" spans="1:9" x14ac:dyDescent="0.25">
      <c r="A12" s="2" t="s">
        <v>6</v>
      </c>
      <c r="B12" s="2" t="s">
        <v>14</v>
      </c>
      <c r="C12" s="3">
        <v>121</v>
      </c>
      <c r="D12" s="3">
        <v>632</v>
      </c>
      <c r="E12" s="4">
        <f>FeederPattern[[#This Row],[Low Income Students]]/FeederPattern[[#This Row],[Total Enrollment]]</f>
        <v>0.19145569620253164</v>
      </c>
      <c r="F12">
        <v>6</v>
      </c>
      <c r="G12" t="s">
        <v>32</v>
      </c>
      <c r="H12" s="5">
        <v>0</v>
      </c>
      <c r="I12" s="5">
        <f>IFERROR(FeederPattern[[#This Row],[PPA]]*FeederPattern[[#This Row],[Low Income Students]],0)</f>
        <v>0</v>
      </c>
    </row>
    <row r="13" spans="1:9" x14ac:dyDescent="0.25">
      <c r="A13" s="2" t="s">
        <v>6</v>
      </c>
      <c r="B13" s="2" t="s">
        <v>12</v>
      </c>
      <c r="C13" s="3">
        <v>114</v>
      </c>
      <c r="D13" s="3">
        <v>668</v>
      </c>
      <c r="E13" s="4">
        <f>FeederPattern[[#This Row],[Low Income Students]]/FeederPattern[[#This Row],[Total Enrollment]]</f>
        <v>0.17065868263473055</v>
      </c>
      <c r="F13">
        <v>7</v>
      </c>
      <c r="G13" t="s">
        <v>21</v>
      </c>
      <c r="H13" s="5">
        <v>0</v>
      </c>
      <c r="I13" s="5">
        <f>IFERROR(FeederPattern[[#This Row],[PPA]]*FeederPattern[[#This Row],[Low Income Students]],0)</f>
        <v>0</v>
      </c>
    </row>
    <row r="14" spans="1:9" s="33" customFormat="1" x14ac:dyDescent="0.25"/>
    <row r="15" spans="1:9" ht="15.75" x14ac:dyDescent="0.25">
      <c r="B15" t="s">
        <v>5</v>
      </c>
      <c r="C15" s="1" t="s">
        <v>1</v>
      </c>
      <c r="D15" s="1" t="s">
        <v>2</v>
      </c>
      <c r="E15" s="1" t="s">
        <v>3</v>
      </c>
    </row>
    <row r="16" spans="1:9" x14ac:dyDescent="0.25">
      <c r="B16" s="2" t="s">
        <v>4</v>
      </c>
      <c r="C16" s="3">
        <f>SUBTOTAL(9,FeederPattern[Low Income Students])</f>
        <v>3397.975671179493</v>
      </c>
      <c r="D16" s="3">
        <f>SUBTOTAL(9,FeederPattern[Total Enrollment])</f>
        <v>9320</v>
      </c>
      <c r="E16" s="17">
        <f>Table48[[#This Row],[Low Income Students]]/Table48[[#This Row],[Total Enrollment]]</f>
        <v>0.36458966428964518</v>
      </c>
    </row>
    <row r="17" spans="2:9" x14ac:dyDescent="0.25">
      <c r="B17" s="7" t="s">
        <v>6</v>
      </c>
      <c r="C17" s="8">
        <f>SUMIF(FeederPattern[Grade Span],Table48[[#This Row],[Grade Span]],FeederPattern[Low Income Students])</f>
        <v>1642</v>
      </c>
      <c r="D17" s="8">
        <f>SUMIF(FeederPattern[Grade Span],Table48[[#This Row],[Grade Span]],FeederPattern[Total Enrollment])</f>
        <v>4342</v>
      </c>
      <c r="E17" s="18">
        <f>Table48[[#This Row],[Low Income Students]]/Table48[[#This Row],[Total Enrollment]]</f>
        <v>0.37816674343620449</v>
      </c>
    </row>
    <row r="18" spans="2:9" x14ac:dyDescent="0.25">
      <c r="B18" s="10" t="s">
        <v>34</v>
      </c>
      <c r="C18" s="11">
        <f>SUMIF(FeederPattern[Grade Span],Table48[[#This Row],[Grade Span]],FeederPattern[Low Income Students])</f>
        <v>870.97567117949279</v>
      </c>
      <c r="D18" s="11">
        <f>SUMIF(FeederPattern[Grade Span],Table48[[#This Row],[Grade Span]],FeederPattern[Total Enrollment])</f>
        <v>2280</v>
      </c>
      <c r="E18" s="12">
        <f>Table48[[#This Row],[Low Income Students]]/Table48[[#This Row],[Total Enrollment]]</f>
        <v>0.38200687332433897</v>
      </c>
    </row>
    <row r="19" spans="2:9" x14ac:dyDescent="0.25">
      <c r="B19" s="13" t="s">
        <v>7</v>
      </c>
      <c r="C19" s="14">
        <f>SUMIF(FeederPattern[Grade Span],Table48[[#This Row],[Grade Span]],FeederPattern[Low Income Students])</f>
        <v>786</v>
      </c>
      <c r="D19" s="14">
        <f>SUMIF(FeederPattern[Grade Span],Table48[[#This Row],[Grade Span]],FeederPattern[Total Enrollment])</f>
        <v>2567</v>
      </c>
      <c r="E19" s="15">
        <f>Table48[[#This Row],[Low Income Students]]/Table48[[#This Row],[Total Enrollment]]</f>
        <v>0.30619400077911957</v>
      </c>
    </row>
    <row r="21" spans="2:9" ht="45" x14ac:dyDescent="0.25">
      <c r="B21" s="33" t="s">
        <v>29</v>
      </c>
      <c r="C21" s="34" t="s">
        <v>30</v>
      </c>
      <c r="D21" s="33" t="s">
        <v>31</v>
      </c>
      <c r="E21" s="33" t="s">
        <v>37</v>
      </c>
      <c r="F21" s="33"/>
      <c r="H21" s="33"/>
      <c r="I21" s="33"/>
    </row>
    <row r="22" spans="2:9" x14ac:dyDescent="0.25">
      <c r="B22" s="6">
        <v>250000</v>
      </c>
      <c r="C22" s="6" cm="1">
        <f t="array" ref="C22">(Table121517[Total Allocation]/D16)*1.25</f>
        <v>33.530042918454932</v>
      </c>
      <c r="D22" s="6">
        <v>200000</v>
      </c>
      <c r="E22" s="16">
        <f>SUM(FeederPattern[Allocation (PPA x Low Income Students)])</f>
        <v>199935.76769514987</v>
      </c>
    </row>
  </sheetData>
  <phoneticPr fontId="3" type="noConversion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District Wide</vt:lpstr>
      <vt:lpstr>Grade Span</vt:lpstr>
      <vt:lpstr>Feeder Pattern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Rank and Serve Demonstration</dc:title>
  <dc:creator>Austin Kohout</dc:creator>
  <cp:lastModifiedBy>Brad Starks</cp:lastModifiedBy>
  <dcterms:created xsi:type="dcterms:W3CDTF">2025-04-10T20:29:08Z</dcterms:created>
  <dcterms:modified xsi:type="dcterms:W3CDTF">2025-04-16T22:41:06Z</dcterms:modified>
</cp:coreProperties>
</file>