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C:\Users\bdickens\Downloads\"/>
    </mc:Choice>
  </mc:AlternateContent>
  <xr:revisionPtr revIDLastSave="0" documentId="13_ncr:1_{6247FB4E-0B26-4739-8CC5-5E2DA6CBFAD1}" xr6:coauthVersionLast="47" xr6:coauthVersionMax="47" xr10:uidLastSave="{00000000-0000-0000-0000-000000000000}"/>
  <bookViews>
    <workbookView xWindow="-120" yWindow="-120" windowWidth="29040" windowHeight="15720" activeTab="1" xr2:uid="{00000000-000D-0000-FFFF-FFFF00000000}"/>
  </bookViews>
  <sheets>
    <sheet name="Enrollment Input" sheetId="6" r:id="rId1"/>
    <sheet name="Attendance % Assistance" sheetId="11" r:id="rId2"/>
    <sheet name="Midterm Units" sheetId="2" r:id="rId3"/>
    <sheet name="Best 28 Units" sheetId="12" r:id="rId4"/>
    <sheet name="Exceptional Child Calc" sheetId="1" r:id="rId5"/>
    <sheet name="criteria" sheetId="7" state="hidden" r:id="rId6"/>
  </sheets>
  <definedNames>
    <definedName name="_xlnm._FilterDatabase" localSheetId="5" hidden="1">criteria!$A$16:$B$25</definedName>
    <definedName name="_xlnm.Criteria" localSheetId="5">criteria!$A$13:$A$14</definedName>
    <definedName name="_xlnm.Extract" localSheetId="5">criteria!$E$16:$F$16</definedName>
    <definedName name="_xlnm.Print_Area" localSheetId="3">'Best 28 Units'!$A$1:$P$36</definedName>
    <definedName name="_xlnm.Print_Area" localSheetId="0">'Enrollment Input'!$A$1:$H$46</definedName>
    <definedName name="_xlnm.Print_Area" localSheetId="2">'Midterm Units'!$A$1:$P$36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 l="1"/>
  <c r="G27" i="6" l="1"/>
  <c r="AB34" i="12" l="1"/>
  <c r="T34" i="12"/>
  <c r="J34" i="12"/>
  <c r="B34" i="12"/>
  <c r="AB32" i="12"/>
  <c r="AI32" i="12" s="1"/>
  <c r="T32" i="12"/>
  <c r="J32" i="12"/>
  <c r="Q32" i="12" s="1"/>
  <c r="B32" i="12"/>
  <c r="AB26" i="12"/>
  <c r="O15" i="12"/>
  <c r="AH6" i="12"/>
  <c r="AE34" i="12" l="1"/>
  <c r="AG34" i="12" s="1"/>
  <c r="M34" i="12"/>
  <c r="O34" i="12" s="1"/>
  <c r="AB34" i="2"/>
  <c r="AB32" i="2"/>
  <c r="AI32" i="2" s="1"/>
  <c r="T34" i="2"/>
  <c r="T32" i="2" l="1"/>
  <c r="B32" i="2"/>
  <c r="AE34" i="2" l="1"/>
  <c r="AB26" i="2"/>
  <c r="AH6" i="2"/>
  <c r="AG34" i="2" l="1"/>
  <c r="G21" i="6"/>
  <c r="G19" i="6"/>
  <c r="G18" i="6"/>
  <c r="G15" i="6"/>
  <c r="E21" i="6"/>
  <c r="E19" i="6"/>
  <c r="E18" i="6"/>
  <c r="E15" i="6"/>
  <c r="J7" i="2" s="1"/>
  <c r="G38" i="6" l="1"/>
  <c r="E38" i="6"/>
  <c r="J7" i="12"/>
  <c r="M7" i="12" s="1"/>
  <c r="Q7" i="12" s="1"/>
  <c r="O7" i="12" s="1"/>
  <c r="P7" i="12" s="1"/>
  <c r="AB7" i="12"/>
  <c r="AE7" i="12" s="1"/>
  <c r="AI7" i="12" s="1"/>
  <c r="AG7" i="12" s="1"/>
  <c r="AH7" i="12" s="1"/>
  <c r="F7" i="12"/>
  <c r="X7" i="12"/>
  <c r="AB18" i="12"/>
  <c r="AE18" i="12" s="1"/>
  <c r="X7" i="2"/>
  <c r="AB7" i="2"/>
  <c r="AE7" i="2" s="1"/>
  <c r="AI7" i="2" s="1"/>
  <c r="AB18" i="2"/>
  <c r="AE18" i="2" s="1"/>
  <c r="AE32" i="2" s="1"/>
  <c r="AG32" i="2" s="1"/>
  <c r="G20" i="6"/>
  <c r="H10" i="1"/>
  <c r="H13" i="1"/>
  <c r="H16" i="1"/>
  <c r="E20" i="6"/>
  <c r="J16" i="2" s="1"/>
  <c r="H31" i="1"/>
  <c r="H37" i="1"/>
  <c r="J34" i="2"/>
  <c r="M7" i="2"/>
  <c r="Q7" i="2" s="1"/>
  <c r="O7" i="2" s="1"/>
  <c r="P7" i="2" s="1"/>
  <c r="J32" i="2"/>
  <c r="B34" i="2"/>
  <c r="F7" i="2"/>
  <c r="J22" i="12" l="1"/>
  <c r="AB22" i="12"/>
  <c r="AI18" i="12"/>
  <c r="AG18" i="12" s="1"/>
  <c r="AE32" i="12"/>
  <c r="AG32" i="12" s="1"/>
  <c r="X18" i="12"/>
  <c r="AB22" i="2"/>
  <c r="X18" i="2"/>
  <c r="AI18" i="2"/>
  <c r="AG18" i="2" s="1"/>
  <c r="AH18" i="2" s="1"/>
  <c r="AG7" i="2"/>
  <c r="AH7" i="2" s="1"/>
  <c r="H39" i="1"/>
  <c r="H41" i="1" s="1"/>
  <c r="H43" i="1" s="1"/>
  <c r="K13" i="1"/>
  <c r="B26" i="1" s="1"/>
  <c r="Q32" i="2"/>
  <c r="M34" i="2"/>
  <c r="O34" i="2" s="1"/>
  <c r="H18" i="1"/>
  <c r="H20" i="1" s="1"/>
  <c r="H22" i="1" s="1"/>
  <c r="K10" i="1"/>
  <c r="B25" i="1" s="1"/>
  <c r="J22" i="2"/>
  <c r="AH18" i="12" l="1"/>
  <c r="H18" i="2"/>
  <c r="J26" i="12"/>
  <c r="H18" i="12"/>
  <c r="J18" i="12"/>
  <c r="AB24" i="12"/>
  <c r="AB29" i="12" s="1"/>
  <c r="J24" i="12"/>
  <c r="AB24" i="2"/>
  <c r="AB29" i="2" s="1"/>
  <c r="J18" i="2"/>
  <c r="J26" i="2"/>
  <c r="D25" i="1"/>
  <c r="H25" i="1" s="1"/>
  <c r="J24" i="2"/>
  <c r="D26" i="1"/>
  <c r="J29" i="12" l="1"/>
  <c r="M29" i="12" s="1"/>
  <c r="Q29" i="12" s="1"/>
  <c r="O29" i="12" s="1"/>
  <c r="P29" i="12" s="1"/>
  <c r="M18" i="12"/>
  <c r="F18" i="12"/>
  <c r="AE29" i="12"/>
  <c r="AI29" i="12" s="1"/>
  <c r="AG29" i="12" s="1"/>
  <c r="AH29" i="12" s="1"/>
  <c r="M18" i="2"/>
  <c r="AE29" i="2"/>
  <c r="AI29" i="2" s="1"/>
  <c r="AG29" i="2" s="1"/>
  <c r="AH29" i="2" s="1"/>
  <c r="F18" i="2"/>
  <c r="J29" i="2"/>
  <c r="M29" i="2" s="1"/>
  <c r="Q29" i="2" s="1"/>
  <c r="H26" i="1"/>
  <c r="Q18" i="12" l="1"/>
  <c r="M32" i="12"/>
  <c r="O32" i="12" s="1"/>
  <c r="AB13" i="12"/>
  <c r="Z13" i="12" s="1"/>
  <c r="J13" i="12"/>
  <c r="H13" i="12" s="1"/>
  <c r="J11" i="12"/>
  <c r="M13" i="12"/>
  <c r="AB16" i="12"/>
  <c r="J16" i="12"/>
  <c r="AB11" i="12"/>
  <c r="AE11" i="12"/>
  <c r="M11" i="12"/>
  <c r="AE13" i="12"/>
  <c r="Q18" i="2"/>
  <c r="O18" i="2" s="1"/>
  <c r="P18" i="2" s="1"/>
  <c r="M32" i="2"/>
  <c r="O32" i="2" s="1"/>
  <c r="O29" i="2"/>
  <c r="P29" i="2" s="1"/>
  <c r="AB16" i="2"/>
  <c r="AB13" i="2"/>
  <c r="AB11" i="2"/>
  <c r="AE11" i="2"/>
  <c r="AE13" i="2"/>
  <c r="M11" i="2"/>
  <c r="J13" i="2"/>
  <c r="M13" i="2"/>
  <c r="J11" i="2"/>
  <c r="Q13" i="12" l="1"/>
  <c r="O18" i="12"/>
  <c r="P18" i="12" s="1"/>
  <c r="AI13" i="12"/>
  <c r="F13" i="12"/>
  <c r="X13" i="12"/>
  <c r="Q11" i="12"/>
  <c r="X16" i="12"/>
  <c r="AE16" i="12"/>
  <c r="AI16" i="12" s="1"/>
  <c r="AG16" i="12" s="1"/>
  <c r="AH16" i="12" s="1"/>
  <c r="Z16" i="12"/>
  <c r="Z11" i="12"/>
  <c r="X11" i="12"/>
  <c r="H16" i="12"/>
  <c r="F16" i="12"/>
  <c r="M16" i="12"/>
  <c r="Q16" i="12" s="1"/>
  <c r="O16" i="12" s="1"/>
  <c r="P16" i="12" s="1"/>
  <c r="F11" i="12"/>
  <c r="H11" i="12"/>
  <c r="AI11" i="12"/>
  <c r="Q13" i="2"/>
  <c r="AI11" i="2"/>
  <c r="AI13" i="2"/>
  <c r="F11" i="2"/>
  <c r="Q11" i="2"/>
  <c r="Z16" i="2"/>
  <c r="X16" i="2"/>
  <c r="AE16" i="2"/>
  <c r="AI16" i="2" s="1"/>
  <c r="AG16" i="2" s="1"/>
  <c r="AH16" i="2" s="1"/>
  <c r="Z13" i="2"/>
  <c r="X13" i="2"/>
  <c r="Z11" i="2"/>
  <c r="X11" i="2"/>
  <c r="F13" i="2"/>
  <c r="H13" i="2"/>
  <c r="M16" i="2"/>
  <c r="Q16" i="2" s="1"/>
  <c r="O16" i="2" s="1"/>
  <c r="P16" i="2" s="1"/>
  <c r="H16" i="2"/>
  <c r="F16" i="2"/>
  <c r="H11" i="2"/>
  <c r="AH14" i="12" l="1"/>
  <c r="AG14" i="12" s="1"/>
  <c r="O13" i="12"/>
  <c r="P13" i="12" s="1"/>
  <c r="P14" i="12"/>
  <c r="O14" i="12" s="1"/>
  <c r="AH14" i="2"/>
  <c r="AG14" i="2" s="1"/>
  <c r="P14" i="2"/>
  <c r="O14" i="2" s="1"/>
  <c r="O11" i="12"/>
  <c r="P11" i="12" s="1"/>
  <c r="AG13" i="12"/>
  <c r="AH13" i="12" s="1"/>
  <c r="AG11" i="12"/>
  <c r="AG11" i="2"/>
  <c r="AH11" i="2" s="1"/>
  <c r="AG13" i="2"/>
  <c r="AH13" i="2" s="1"/>
  <c r="O13" i="2"/>
  <c r="P13" i="2" s="1"/>
  <c r="O11" i="2"/>
  <c r="P11" i="2" s="1"/>
  <c r="N36" i="12" l="1"/>
  <c r="AH11" i="12"/>
  <c r="AF36" i="12"/>
  <c r="AF36" i="2"/>
  <c r="N36" i="2"/>
  <c r="M37" i="2" l="1"/>
  <c r="AE37" i="12"/>
  <c r="M37" i="12"/>
  <c r="AE37" i="2"/>
</calcChain>
</file>

<file path=xl/sharedStrings.xml><?xml version="1.0" encoding="utf-8"?>
<sst xmlns="http://schemas.openxmlformats.org/spreadsheetml/2006/main" count="334" uniqueCount="123">
  <si>
    <t>ESTIMATING EXCEPTIONAL CHILD UNIT APPROVALS</t>
  </si>
  <si>
    <t>ELEMENTARY</t>
  </si>
  <si>
    <t>1.</t>
  </si>
  <si>
    <t>2.</t>
  </si>
  <si>
    <t>(Do not include border students)</t>
  </si>
  <si>
    <t>3.</t>
  </si>
  <si>
    <t>Elementary exceptional students eligible</t>
  </si>
  <si>
    <t>for tuition equivalency allowance</t>
  </si>
  <si>
    <t>4.</t>
  </si>
  <si>
    <t>Line 1 + Line 2 - Line 3</t>
  </si>
  <si>
    <t>5.</t>
  </si>
  <si>
    <t>Line 4 x 6%</t>
  </si>
  <si>
    <t>6.</t>
  </si>
  <si>
    <t>students approved for special education unit funding</t>
  </si>
  <si>
    <t>=</t>
  </si>
  <si>
    <t>% of</t>
  </si>
  <si>
    <t>Total</t>
  </si>
  <si>
    <t>SECONDARY</t>
  </si>
  <si>
    <t>7.</t>
  </si>
  <si>
    <t>students, grades 7-12</t>
  </si>
  <si>
    <t>(Do not include alternative school,</t>
  </si>
  <si>
    <t>detention center, or border students)</t>
  </si>
  <si>
    <t>8.</t>
  </si>
  <si>
    <t>juvenile detention center students)</t>
  </si>
  <si>
    <t>9.</t>
  </si>
  <si>
    <t>Line 7 - line 8</t>
  </si>
  <si>
    <t>10.</t>
  </si>
  <si>
    <t>Line 9 x 5.5%</t>
  </si>
  <si>
    <t>11.</t>
  </si>
  <si>
    <t>Line 8 + line 10 = the number of secondary</t>
  </si>
  <si>
    <t>students approved for special education unit funding.</t>
  </si>
  <si>
    <t>PRESCHOOL</t>
  </si>
  <si>
    <t>12.</t>
  </si>
  <si>
    <t xml:space="preserve">        then divide by 16 hours.  No student</t>
  </si>
  <si>
    <t xml:space="preserve">        will be approved for more than 1 FTE</t>
  </si>
  <si>
    <t>b.     Total all Preschool FTE approvals</t>
  </si>
  <si>
    <t xml:space="preserve">        Line 12(b) equals the number of preschool</t>
  </si>
  <si>
    <t xml:space="preserve">        exceptional students approved for unit funding.</t>
  </si>
  <si>
    <t>ADMINISTRATIVE UNITS</t>
  </si>
  <si>
    <t>Grades 1-3</t>
  </si>
  <si>
    <t>Grades 4-6</t>
  </si>
  <si>
    <t>Grades 1-6</t>
  </si>
  <si>
    <t>¸</t>
  </si>
  <si>
    <t>Line 3 + Line 5 = the number of elementary</t>
  </si>
  <si>
    <r>
      <t xml:space="preserve">tuition equivalency allowance </t>
    </r>
    <r>
      <rPr>
        <sz val="10"/>
        <rFont val="Arial"/>
        <family val="2"/>
      </rPr>
      <t>(other than</t>
    </r>
  </si>
  <si>
    <r>
      <t xml:space="preserve">a.     For </t>
    </r>
    <r>
      <rPr>
        <u/>
        <sz val="12"/>
        <rFont val="Arial"/>
        <family val="2"/>
      </rPr>
      <t>each</t>
    </r>
    <r>
      <rPr>
        <sz val="12"/>
        <rFont val="Arial"/>
        <family val="2"/>
      </rPr>
      <t xml:space="preserve"> exceptional preschool</t>
    </r>
  </si>
  <si>
    <r>
      <t xml:space="preserve">        minutes </t>
    </r>
    <r>
      <rPr>
        <u/>
        <sz val="12"/>
        <rFont val="Arial"/>
        <family val="2"/>
      </rPr>
      <t>per week</t>
    </r>
    <r>
      <rPr>
        <sz val="12"/>
        <rFont val="Arial"/>
        <family val="2"/>
      </rPr>
      <t xml:space="preserve"> of direct service;</t>
    </r>
  </si>
  <si>
    <t>Elementary</t>
  </si>
  <si>
    <t>Secondary</t>
  </si>
  <si>
    <t>grades 4-6 Portion</t>
  </si>
  <si>
    <t>X</t>
  </si>
  <si>
    <t>grades 1-3 Portion</t>
  </si>
  <si>
    <t>6.a</t>
  </si>
  <si>
    <t>6.b</t>
  </si>
  <si>
    <t>KINDERGARTEN</t>
  </si>
  <si>
    <t>Low</t>
  </si>
  <si>
    <t>Elementary grades 1-3</t>
  </si>
  <si>
    <t>Unit</t>
  </si>
  <si>
    <t>Elementary grades 4-6</t>
  </si>
  <si>
    <t>Exceptional Education</t>
  </si>
  <si>
    <t>Elementary grades 1-6</t>
  </si>
  <si>
    <t>SECONDARY LESS THAN 99.99</t>
  </si>
  <si>
    <t>high grade</t>
  </si>
  <si>
    <t>units</t>
  </si>
  <si>
    <t>Minimum</t>
  </si>
  <si>
    <t>Current Year Support Unit Calculation</t>
  </si>
  <si>
    <t>A.D.A</t>
  </si>
  <si>
    <r>
      <t xml:space="preserve">Unit      </t>
    </r>
    <r>
      <rPr>
        <u/>
        <sz val="10"/>
        <rFont val="Arial"/>
        <family val="2"/>
      </rPr>
      <t>Divisor</t>
    </r>
  </si>
  <si>
    <t>Support Units</t>
  </si>
  <si>
    <t>equals 300 or more:</t>
  </si>
  <si>
    <r>
      <t>Special</t>
    </r>
    <r>
      <rPr>
        <u/>
        <sz val="10"/>
        <rFont val="Arial"/>
        <family val="2"/>
      </rPr>
      <t xml:space="preserve">
Education</t>
    </r>
  </si>
  <si>
    <r>
      <t>Adjusted</t>
    </r>
    <r>
      <rPr>
        <u/>
        <sz val="10"/>
        <rFont val="Arial"/>
        <family val="2"/>
      </rPr>
      <t xml:space="preserve">
A.D.A</t>
    </r>
  </si>
  <si>
    <t xml:space="preserve">Exceptional Preschool </t>
  </si>
  <si>
    <t xml:space="preserve">Exceptional Elementary </t>
  </si>
  <si>
    <t xml:space="preserve">Exceptional Secondary </t>
  </si>
  <si>
    <t>-</t>
  </si>
  <si>
    <t>Exceptional Education Total</t>
  </si>
  <si>
    <t xml:space="preserve">        student, total the number of hours and</t>
  </si>
  <si>
    <t>less than 300:</t>
  </si>
  <si>
    <t>Charter Schools Only</t>
  </si>
  <si>
    <t>BUDGET WORKSHEETS</t>
  </si>
  <si>
    <t>Fall Enrollment, grades K-3</t>
  </si>
  <si>
    <t>Fall Enrollment, grades 4-6</t>
  </si>
  <si>
    <t>Fall enrollment for regular secondary</t>
  </si>
  <si>
    <t>Preschool Student Approvals</t>
  </si>
  <si>
    <t>ALTERNATIVE SCHOOL UNITS</t>
  </si>
  <si>
    <t>Through Midterm Reporting period</t>
  </si>
  <si>
    <t>*</t>
  </si>
  <si>
    <t>**</t>
  </si>
  <si>
    <t>Estimated ADA for Midterm Period</t>
  </si>
  <si>
    <t>Estimated ADA for Best 28 Weeks</t>
  </si>
  <si>
    <t>Alternative School Estimated ADA is based on the following calculation:</t>
  </si>
  <si>
    <t>Summer Alternative School Estimated ADA is based on the following calculation:</t>
  </si>
  <si>
    <t>Aggregated attendance hours ÷ 225</t>
  </si>
  <si>
    <r>
      <t xml:space="preserve">Aggregated attendance hours </t>
    </r>
    <r>
      <rPr>
        <sz val="10"/>
        <rFont val="Calibri"/>
        <family val="2"/>
      </rPr>
      <t>÷</t>
    </r>
    <r>
      <rPr>
        <sz val="10"/>
        <rFont val="Arial"/>
        <family val="2"/>
      </rPr>
      <t xml:space="preserve"> days in session ÷ either 5 or 4 day a week program divisor</t>
    </r>
  </si>
  <si>
    <t>*Alternative School</t>
  </si>
  <si>
    <t>**Summer Alternative School</t>
  </si>
  <si>
    <t>Exceptional Preschool</t>
  </si>
  <si>
    <t>(Use divisor of 5 for 5 day program. Use divisor of 6.25 for 4 day or less program )</t>
  </si>
  <si>
    <t>Exceptional Students Eligible for Tuition Equivalency Allowance</t>
  </si>
  <si>
    <t>(estimated midterm %)</t>
  </si>
  <si>
    <t>(estimated B28 wks %)</t>
  </si>
  <si>
    <t>See the Attendance % Assistance worksheet for help.</t>
  </si>
  <si>
    <t>Estimating Average Attendance Percentages</t>
  </si>
  <si>
    <t xml:space="preserve">If you do not have historical attendance rates readily available, consider using the guidance/reports below to estimate midterm and best 28 weeks average attendance percentages. </t>
  </si>
  <si>
    <t>TOTAL Estimated Support Units (Rounded to nearest hundredth)</t>
  </si>
  <si>
    <t>Through Midterm Reporting Period</t>
  </si>
  <si>
    <t>Without Secondary Special Education Approved Allocation</t>
  </si>
  <si>
    <t>With Secondary Special Education Approved Allocation</t>
  </si>
  <si>
    <t>Exceptional Pre-K Students</t>
  </si>
  <si>
    <t>ADA Totals</t>
  </si>
  <si>
    <t>Hours &amp; minutes of service per student per week. Example: 8 hrs 40 mins entered as 8.67</t>
  </si>
  <si>
    <t>Enter estimated fall enrollment</t>
  </si>
  <si>
    <t>Kindergarten</t>
  </si>
  <si>
    <t>Optional programs - Enter information (less common)</t>
  </si>
  <si>
    <t>Best 28 Weeks Reporting Period</t>
  </si>
  <si>
    <t>Estimated
Fall Enrollment</t>
  </si>
  <si>
    <r>
      <rPr>
        <u/>
        <sz val="11"/>
        <rFont val="Arial"/>
        <family val="2"/>
      </rPr>
      <t xml:space="preserve">Estimated midterm % </t>
    </r>
    <r>
      <rPr>
        <sz val="11"/>
        <rFont val="Arial"/>
        <family val="2"/>
      </rPr>
      <t xml:space="preserve">
1 - Run the report titled "Attendance Current Year Support Unit Calculation" for the current year's midterm reporting period from the ISEE portal. Take the Total ADA amount (highlighted green in the example on the right) and subtract the Preschool amount (highlighted yellow). This result will be used in step 3.
2 - Run the report titled "Net Enrollment" for the current year's Period 1 (midterm period) from the ISEE portal. Add together the All Grades Net Total amounts and subtract all Preschool amounts. This result will be used in step 3.
3 - Divide result from step 1 by the result from step 2. Enter this percentage in cell G4 on the Input Enrollment sheet. 
</t>
    </r>
    <r>
      <rPr>
        <u/>
        <sz val="11"/>
        <rFont val="Arial"/>
        <family val="2"/>
      </rPr>
      <t>Estimated B28 %</t>
    </r>
    <r>
      <rPr>
        <sz val="11"/>
        <rFont val="Arial"/>
        <family val="2"/>
      </rPr>
      <t xml:space="preserve">
1 - Run the report titled "Attendance Current Year Support Unit Calculation" but for last year's best 28 weeks reporting period from the ISEE portal. Take the Total ADA amount (highlighted blue in the example on the right) and subtract the Preschool amount (highlighted red). This result will be used in step 3.
2 - Retrieve from the SDE Secure Website the most recently completed year's "NetEnrollmentAllYear.pdf" report (found in the July folder). Add together the All Grades Net Total amounts and subtract all Preschool amounts. This result will be used in step 3.
3 - Divide result from step 1 by the result from step 2. Enter this percentage in cell G7 on the Input Enrollment sheet.</t>
    </r>
  </si>
  <si>
    <t>The purpose of this worksheet is to help estimate your 2025-2026 midterm and best 28 weeks support units. Entering information into the highlighted cells on this worksheet will populate the other worksheets in this file.</t>
  </si>
  <si>
    <t>Support units for the 2025-2026 school year will be calculated using ADA based on Instructional/Seat Time (4.0 and 2.5 hours).</t>
  </si>
  <si>
    <t>Based on your historical attendance, enter an estimated average student attendance percentage for the 2025-2026 midterm reporting period (1st day of school thru 1st Friday in November).</t>
  </si>
  <si>
    <t>Based on your historical attendance, enter an estimated average student attendance percentage for the 2025-2026 best 28 weeks.</t>
  </si>
  <si>
    <r>
      <t xml:space="preserve">Secondary </t>
    </r>
    <r>
      <rPr>
        <u/>
        <sz val="12"/>
        <rFont val="Arial"/>
        <family val="2"/>
      </rPr>
      <t>exceptional</t>
    </r>
    <r>
      <rPr>
        <sz val="12"/>
        <rFont val="Arial"/>
        <family val="2"/>
      </rPr>
      <t xml:space="preserve"> students eligible for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</si>
</sst>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font>
    <font>
      <sz val="12"/>
      <name val="Arial"/>
      <family val="2"/>
    </font>
    <font>
      <b/>
      <sz val="12"/>
      <name val="Arial"/>
      <family val="2"/>
    </font>
    <font>
      <u/>
      <sz val="10"/>
      <name val="Arial"/>
      <family val="2"/>
    </font>
    <font>
      <u/>
      <sz val="12"/>
      <name val="Arial"/>
      <family val="2"/>
    </font>
    <font>
      <sz val="10"/>
      <name val="Arial"/>
      <family val="2"/>
    </font>
    <font>
      <sz val="11"/>
      <name val="Arial"/>
      <family val="2"/>
    </font>
    <font>
      <sz val="12"/>
      <name val="Symbol"/>
      <family val="1"/>
      <charset val="2"/>
    </font>
    <font>
      <sz val="8"/>
      <name val="Arial"/>
      <family val="2"/>
    </font>
    <font>
      <sz val="10"/>
      <color indexed="48"/>
      <name val="Arial"/>
      <family val="2"/>
    </font>
    <font>
      <sz val="10"/>
      <color indexed="12"/>
      <name val="Arial"/>
      <family val="2"/>
    </font>
    <font>
      <sz val="10"/>
      <color indexed="10"/>
      <name val="Arial"/>
      <family val="2"/>
    </font>
    <font>
      <sz val="16"/>
      <name val="Arial"/>
      <family val="2"/>
    </font>
    <font>
      <sz val="10"/>
      <color indexed="9"/>
      <name val="Arial"/>
      <family val="2"/>
    </font>
    <font>
      <sz val="10"/>
      <name val="Arial"/>
      <family val="2"/>
    </font>
    <font>
      <sz val="10"/>
      <name val="Calibri"/>
      <family val="2"/>
    </font>
    <font>
      <u/>
      <sz val="9"/>
      <name val="Arial"/>
      <family val="2"/>
    </font>
    <font>
      <b/>
      <sz val="10"/>
      <name val="Arial"/>
      <family val="2"/>
    </font>
    <font>
      <u/>
      <sz val="11"/>
      <name val="Arial"/>
      <family val="2"/>
    </font>
    <font>
      <b/>
      <sz val="16"/>
      <color rgb="FFC00000"/>
      <name val="Arial"/>
      <family val="2"/>
    </font>
    <font>
      <sz val="10"/>
      <color theme="0"/>
      <name val="Arial"/>
      <family val="2"/>
    </font>
    <font>
      <sz val="10"/>
      <color theme="4"/>
      <name val="Arial"/>
      <family val="2"/>
    </font>
    <font>
      <b/>
      <i/>
      <sz val="10"/>
      <name val="Arial"/>
      <family val="2"/>
    </font>
    <font>
      <b/>
      <sz val="10"/>
      <color rgb="FFFF0000"/>
      <name val="Arial"/>
      <family val="2"/>
    </font>
    <font>
      <b/>
      <sz val="10"/>
      <color rgb="FFA20000"/>
      <name val="Arial"/>
      <family val="2"/>
    </font>
    <font>
      <sz val="10"/>
      <color theme="0" tint="-0.249977111117893"/>
      <name val="Arial"/>
      <family val="2"/>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s>
  <borders count="12">
    <border>
      <left/>
      <right/>
      <top/>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
      <left/>
      <right/>
      <top/>
      <bottom style="double">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s>
  <cellStyleXfs count="3">
    <xf numFmtId="0" fontId="0" fillId="0" borderId="0"/>
    <xf numFmtId="9" fontId="14" fillId="0" borderId="0" applyFont="0" applyFill="0" applyBorder="0" applyAlignment="0" applyProtection="0"/>
    <xf numFmtId="0" fontId="5" fillId="0" borderId="0"/>
  </cellStyleXfs>
  <cellXfs count="111">
    <xf numFmtId="0" fontId="0" fillId="0" borderId="0" xfId="0"/>
    <xf numFmtId="0" fontId="1" fillId="0" borderId="0" xfId="0" applyFont="1"/>
    <xf numFmtId="0" fontId="2" fillId="0" borderId="0" xfId="0" applyFont="1" applyAlignment="1">
      <alignment horizontal="center"/>
    </xf>
    <xf numFmtId="49" fontId="0" fillId="0" borderId="0" xfId="0" applyNumberFormat="1"/>
    <xf numFmtId="49" fontId="2" fillId="0" borderId="0" xfId="0" applyNumberFormat="1" applyFont="1"/>
    <xf numFmtId="49" fontId="1" fillId="0" borderId="0" xfId="0" applyNumberFormat="1" applyFont="1"/>
    <xf numFmtId="0" fontId="5" fillId="0" borderId="0" xfId="0" applyFont="1"/>
    <xf numFmtId="0" fontId="3" fillId="0" borderId="0" xfId="0" applyFont="1"/>
    <xf numFmtId="0" fontId="6" fillId="0" borderId="0" xfId="0" applyFont="1"/>
    <xf numFmtId="0" fontId="0" fillId="0" borderId="1" xfId="0" applyBorder="1" applyAlignment="1">
      <alignment horizontal="center"/>
    </xf>
    <xf numFmtId="49" fontId="2" fillId="0" borderId="0" xfId="0" applyNumberFormat="1" applyFont="1" applyAlignment="1">
      <alignment vertical="center"/>
    </xf>
    <xf numFmtId="49" fontId="0" fillId="0" borderId="0" xfId="0" applyNumberFormat="1" applyAlignment="1">
      <alignment horizontal="center"/>
    </xf>
    <xf numFmtId="0" fontId="0" fillId="0" borderId="0" xfId="0" applyAlignment="1">
      <alignment horizontal="center"/>
    </xf>
    <xf numFmtId="0" fontId="7" fillId="0" borderId="0" xfId="0" applyFont="1" applyAlignment="1">
      <alignment horizontal="center"/>
    </xf>
    <xf numFmtId="0" fontId="0" fillId="0" borderId="0" xfId="0" applyAlignment="1">
      <alignment horizontal="center" wrapText="1"/>
    </xf>
    <xf numFmtId="10" fontId="5" fillId="0" borderId="1" xfId="0" applyNumberFormat="1" applyFont="1" applyBorder="1"/>
    <xf numFmtId="2" fontId="0" fillId="0" borderId="0" xfId="0" applyNumberFormat="1"/>
    <xf numFmtId="2" fontId="1" fillId="0" borderId="0" xfId="0" applyNumberFormat="1" applyFont="1"/>
    <xf numFmtId="10" fontId="1" fillId="0" borderId="0" xfId="0" applyNumberFormat="1" applyFont="1"/>
    <xf numFmtId="0" fontId="1" fillId="0" borderId="0" xfId="0" applyFont="1" applyAlignment="1">
      <alignment horizontal="center"/>
    </xf>
    <xf numFmtId="2" fontId="1" fillId="0" borderId="0" xfId="0" applyNumberFormat="1" applyFont="1" applyAlignment="1">
      <alignment horizontal="center"/>
    </xf>
    <xf numFmtId="4" fontId="0" fillId="0" borderId="0" xfId="0" applyNumberFormat="1"/>
    <xf numFmtId="4" fontId="0" fillId="0" borderId="0" xfId="0" applyNumberFormat="1" applyAlignment="1">
      <alignment horizontal="center"/>
    </xf>
    <xf numFmtId="0" fontId="8" fillId="0" borderId="0" xfId="0" applyFont="1" applyAlignment="1">
      <alignment horizontal="left" wrapText="1"/>
    </xf>
    <xf numFmtId="49" fontId="3" fillId="0" borderId="0" xfId="0" applyNumberFormat="1" applyFont="1" applyAlignment="1">
      <alignment horizontal="center" wrapText="1"/>
    </xf>
    <xf numFmtId="0" fontId="3" fillId="0" borderId="0" xfId="0" applyFont="1" applyAlignment="1">
      <alignment horizontal="center"/>
    </xf>
    <xf numFmtId="0" fontId="5" fillId="0" borderId="0" xfId="0" applyFont="1" applyAlignment="1">
      <alignment horizontal="center" wrapText="1"/>
    </xf>
    <xf numFmtId="0" fontId="13" fillId="0" borderId="0" xfId="0" applyFont="1"/>
    <xf numFmtId="0" fontId="10" fillId="2" borderId="0" xfId="0" applyFont="1" applyFill="1" applyAlignment="1">
      <alignment horizontal="center"/>
    </xf>
    <xf numFmtId="3" fontId="9" fillId="4" borderId="2" xfId="0" applyNumberFormat="1" applyFont="1" applyFill="1" applyBorder="1" applyAlignment="1" applyProtection="1">
      <alignment horizontal="center"/>
      <protection locked="0"/>
    </xf>
    <xf numFmtId="3" fontId="9" fillId="4" borderId="3" xfId="0" applyNumberFormat="1" applyFont="1" applyFill="1" applyBorder="1" applyAlignment="1" applyProtection="1">
      <alignment horizontal="center"/>
      <protection locked="0"/>
    </xf>
    <xf numFmtId="4" fontId="9" fillId="4" borderId="2" xfId="0" applyNumberFormat="1" applyFont="1" applyFill="1" applyBorder="1" applyAlignment="1" applyProtection="1">
      <alignment horizontal="center"/>
      <protection locked="0"/>
    </xf>
    <xf numFmtId="4" fontId="10" fillId="4" borderId="2" xfId="0" applyNumberFormat="1" applyFont="1" applyFill="1" applyBorder="1" applyAlignment="1" applyProtection="1">
      <alignment horizontal="center"/>
      <protection locked="0"/>
    </xf>
    <xf numFmtId="164" fontId="9" fillId="4" borderId="2" xfId="0" applyNumberFormat="1" applyFont="1" applyFill="1" applyBorder="1" applyAlignment="1" applyProtection="1">
      <alignment horizontal="center"/>
      <protection locked="0"/>
    </xf>
    <xf numFmtId="0" fontId="9" fillId="4" borderId="2" xfId="0" applyFont="1" applyFill="1" applyBorder="1" applyAlignment="1" applyProtection="1">
      <alignment horizontal="center"/>
      <protection locked="0"/>
    </xf>
    <xf numFmtId="0" fontId="0" fillId="2" borderId="0" xfId="0" applyFill="1" applyAlignment="1">
      <alignment horizontal="center"/>
    </xf>
    <xf numFmtId="0" fontId="0" fillId="0" borderId="0" xfId="0" applyAlignment="1">
      <alignment horizontal="right"/>
    </xf>
    <xf numFmtId="0" fontId="5" fillId="0" borderId="0" xfId="0" applyFont="1" applyAlignment="1">
      <alignment horizontal="left" indent="1"/>
    </xf>
    <xf numFmtId="0" fontId="0" fillId="2" borderId="0" xfId="0" applyFill="1"/>
    <xf numFmtId="0" fontId="16" fillId="0" borderId="0" xfId="0" applyFont="1"/>
    <xf numFmtId="0" fontId="0" fillId="3" borderId="0" xfId="0" applyFill="1"/>
    <xf numFmtId="0" fontId="0" fillId="3" borderId="0" xfId="0" applyFill="1" applyAlignment="1">
      <alignment horizontal="left" wrapText="1" indent="1"/>
    </xf>
    <xf numFmtId="164" fontId="9" fillId="3" borderId="0" xfId="0" applyNumberFormat="1" applyFont="1" applyFill="1" applyAlignment="1">
      <alignment horizontal="center"/>
    </xf>
    <xf numFmtId="49" fontId="5" fillId="2" borderId="0" xfId="0" applyNumberFormat="1" applyFont="1" applyFill="1"/>
    <xf numFmtId="4" fontId="9" fillId="2" borderId="0" xfId="0" applyNumberFormat="1" applyFont="1" applyFill="1" applyAlignment="1">
      <alignment horizontal="center"/>
    </xf>
    <xf numFmtId="49" fontId="3" fillId="0" borderId="0" xfId="0" applyNumberFormat="1" applyFont="1"/>
    <xf numFmtId="4" fontId="9" fillId="3" borderId="0" xfId="0" applyNumberFormat="1" applyFont="1" applyFill="1" applyAlignment="1">
      <alignment horizontal="center"/>
    </xf>
    <xf numFmtId="4" fontId="10" fillId="3" borderId="0" xfId="0" applyNumberFormat="1" applyFont="1" applyFill="1" applyAlignment="1">
      <alignment horizontal="center"/>
    </xf>
    <xf numFmtId="0" fontId="3" fillId="2" borderId="0" xfId="0" applyFont="1" applyFill="1"/>
    <xf numFmtId="3" fontId="9" fillId="2" borderId="0" xfId="0" applyNumberFormat="1" applyFont="1" applyFill="1" applyAlignment="1">
      <alignment horizontal="center"/>
    </xf>
    <xf numFmtId="4" fontId="10" fillId="2" borderId="0" xfId="0" applyNumberFormat="1" applyFont="1" applyFill="1" applyAlignment="1">
      <alignment horizontal="center"/>
    </xf>
    <xf numFmtId="3" fontId="11" fillId="2" borderId="0" xfId="0" applyNumberFormat="1" applyFont="1" applyFill="1" applyAlignment="1">
      <alignment horizontal="center"/>
    </xf>
    <xf numFmtId="4" fontId="9" fillId="0" borderId="2" xfId="0" applyNumberFormat="1" applyFont="1" applyBorder="1" applyAlignment="1">
      <alignment horizontal="center"/>
    </xf>
    <xf numFmtId="4" fontId="10" fillId="0" borderId="2" xfId="0" applyNumberFormat="1" applyFont="1" applyBorder="1" applyAlignment="1">
      <alignment horizontal="center"/>
    </xf>
    <xf numFmtId="3" fontId="0" fillId="2" borderId="0" xfId="0" applyNumberFormat="1" applyFill="1" applyAlignment="1">
      <alignment horizontal="center"/>
    </xf>
    <xf numFmtId="0" fontId="1" fillId="0" borderId="2" xfId="0" applyFont="1" applyBorder="1" applyAlignment="1">
      <alignment wrapText="1"/>
    </xf>
    <xf numFmtId="0" fontId="12" fillId="0" borderId="0" xfId="0" applyFont="1"/>
    <xf numFmtId="9" fontId="5" fillId="0" borderId="0" xfId="0" applyNumberFormat="1" applyFont="1" applyAlignment="1">
      <alignment horizontal="center" wrapText="1"/>
    </xf>
    <xf numFmtId="0" fontId="1" fillId="0" borderId="7" xfId="0" applyFont="1" applyBorder="1" applyAlignment="1">
      <alignment wrapText="1"/>
    </xf>
    <xf numFmtId="0" fontId="5" fillId="0" borderId="0" xfId="2"/>
    <xf numFmtId="0" fontId="2" fillId="0" borderId="0" xfId="0" applyFont="1" applyAlignment="1">
      <alignment horizontal="center" vertical="center"/>
    </xf>
    <xf numFmtId="0" fontId="0" fillId="0" borderId="1" xfId="0" applyBorder="1"/>
    <xf numFmtId="4" fontId="0" fillId="0" borderId="1" xfId="0" applyNumberFormat="1" applyBorder="1" applyAlignment="1">
      <alignment horizontal="center"/>
    </xf>
    <xf numFmtId="0" fontId="20" fillId="0" borderId="0" xfId="0" applyFont="1"/>
    <xf numFmtId="0" fontId="13" fillId="0" borderId="11" xfId="0" applyFont="1" applyBorder="1"/>
    <xf numFmtId="4" fontId="1" fillId="0" borderId="0" xfId="0" applyNumberFormat="1" applyFont="1" applyAlignment="1">
      <alignment horizontal="center"/>
    </xf>
    <xf numFmtId="0" fontId="21" fillId="0" borderId="0" xfId="0" applyFont="1"/>
    <xf numFmtId="0" fontId="20" fillId="0" borderId="11" xfId="0" applyFont="1" applyBorder="1"/>
    <xf numFmtId="0" fontId="5" fillId="0" borderId="0" xfId="0" applyFont="1" applyAlignment="1">
      <alignment horizontal="center"/>
    </xf>
    <xf numFmtId="0" fontId="5" fillId="0" borderId="0" xfId="0" applyFont="1" applyAlignment="1">
      <alignment horizontal="right"/>
    </xf>
    <xf numFmtId="4" fontId="9" fillId="0" borderId="0" xfId="0" applyNumberFormat="1" applyFont="1" applyAlignment="1">
      <alignment horizontal="center"/>
    </xf>
    <xf numFmtId="0" fontId="17" fillId="3" borderId="0" xfId="0" applyFont="1" applyFill="1" applyAlignment="1">
      <alignment horizontal="center"/>
    </xf>
    <xf numFmtId="9" fontId="5" fillId="3" borderId="0" xfId="0" applyNumberFormat="1" applyFont="1" applyFill="1" applyAlignment="1">
      <alignment horizontal="center" wrapText="1"/>
    </xf>
    <xf numFmtId="0" fontId="17" fillId="3" borderId="0" xfId="0" applyFont="1" applyFill="1" applyAlignment="1">
      <alignment horizontal="left"/>
    </xf>
    <xf numFmtId="3" fontId="25" fillId="2" borderId="0" xfId="0" applyNumberFormat="1" applyFont="1" applyFill="1" applyAlignment="1">
      <alignment horizontal="center"/>
    </xf>
    <xf numFmtId="0" fontId="0" fillId="0" borderId="0" xfId="0" applyAlignment="1">
      <alignment horizontal="left" indent="4"/>
    </xf>
    <xf numFmtId="0" fontId="19" fillId="0" borderId="0" xfId="0" applyFont="1" applyAlignment="1">
      <alignment horizontal="center"/>
    </xf>
    <xf numFmtId="0" fontId="6" fillId="0" borderId="6" xfId="0" applyFont="1" applyBorder="1" applyAlignment="1">
      <alignment wrapText="1"/>
    </xf>
    <xf numFmtId="0" fontId="6" fillId="0" borderId="7" xfId="0" applyFont="1" applyBorder="1" applyAlignment="1">
      <alignment wrapText="1"/>
    </xf>
    <xf numFmtId="10" fontId="1" fillId="4" borderId="3" xfId="1" applyNumberFormat="1" applyFont="1" applyFill="1" applyBorder="1" applyAlignment="1" applyProtection="1">
      <alignment horizontal="center" vertical="center" wrapText="1"/>
      <protection locked="0"/>
    </xf>
    <xf numFmtId="10" fontId="1" fillId="4" borderId="10" xfId="1" applyNumberFormat="1" applyFont="1" applyFill="1" applyBorder="1" applyAlignment="1" applyProtection="1">
      <alignment horizontal="center" vertical="center" wrapText="1"/>
      <protection locked="0"/>
    </xf>
    <xf numFmtId="0" fontId="5" fillId="0" borderId="0" xfId="0" applyFont="1" applyAlignment="1">
      <alignment horizontal="left" wrapText="1" indent="4"/>
    </xf>
    <xf numFmtId="0" fontId="0" fillId="0" borderId="0" xfId="0" applyAlignment="1">
      <alignment horizontal="left" wrapText="1" indent="4"/>
    </xf>
    <xf numFmtId="0" fontId="17" fillId="0" borderId="0" xfId="0" applyFont="1" applyAlignment="1">
      <alignment horizontal="left"/>
    </xf>
    <xf numFmtId="3" fontId="11" fillId="2" borderId="0" xfId="0" applyNumberFormat="1" applyFont="1" applyFill="1" applyAlignment="1">
      <alignment horizontal="center"/>
    </xf>
    <xf numFmtId="0" fontId="17" fillId="3" borderId="0" xfId="0" applyFont="1" applyFill="1" applyAlignment="1">
      <alignment horizontal="center"/>
    </xf>
    <xf numFmtId="0" fontId="5" fillId="0" borderId="0" xfId="0" applyFont="1" applyAlignment="1">
      <alignment horizontal="center" wrapText="1"/>
    </xf>
    <xf numFmtId="0" fontId="0" fillId="0" borderId="0" xfId="0" applyAlignment="1">
      <alignment horizontal="center" wrapText="1"/>
    </xf>
    <xf numFmtId="0" fontId="6" fillId="0" borderId="0" xfId="0" applyFont="1" applyAlignment="1">
      <alignment wrapText="1"/>
    </xf>
    <xf numFmtId="0" fontId="5" fillId="0" borderId="0" xfId="0" applyFont="1" applyAlignment="1">
      <alignment horizontal="center" vertical="center" wrapText="1"/>
    </xf>
    <xf numFmtId="0" fontId="0" fillId="0" borderId="0" xfId="0" applyAlignment="1">
      <alignment horizontal="center" vertical="center" wrapText="1"/>
    </xf>
    <xf numFmtId="0" fontId="22" fillId="0" borderId="8" xfId="0" applyFont="1" applyBorder="1" applyAlignment="1">
      <alignment vertical="top" wrapText="1"/>
    </xf>
    <xf numFmtId="0" fontId="22" fillId="0" borderId="2" xfId="0" applyFont="1" applyBorder="1" applyAlignment="1">
      <alignment vertical="top" wrapText="1"/>
    </xf>
    <xf numFmtId="9" fontId="8" fillId="0" borderId="2" xfId="1" applyFont="1" applyBorder="1" applyAlignment="1" applyProtection="1">
      <alignment horizontal="center" vertical="top" wrapText="1"/>
    </xf>
    <xf numFmtId="9" fontId="12" fillId="0" borderId="9" xfId="1" applyFont="1" applyBorder="1" applyAlignment="1" applyProtection="1">
      <alignment horizontal="center" vertical="top" wrapText="1"/>
    </xf>
    <xf numFmtId="0" fontId="12" fillId="0" borderId="0" xfId="2" applyFont="1" applyAlignment="1">
      <alignment horizontal="center"/>
    </xf>
    <xf numFmtId="0" fontId="6" fillId="0" borderId="0" xfId="2" applyFont="1" applyAlignment="1">
      <alignment wrapText="1"/>
    </xf>
    <xf numFmtId="0" fontId="5" fillId="0" borderId="0" xfId="2"/>
    <xf numFmtId="0" fontId="0" fillId="0" borderId="1" xfId="0" applyBorder="1"/>
    <xf numFmtId="4" fontId="0" fillId="0" borderId="1" xfId="0" applyNumberFormat="1" applyBorder="1" applyAlignment="1">
      <alignment horizontal="center"/>
    </xf>
    <xf numFmtId="0" fontId="2" fillId="0" borderId="0" xfId="0" applyFont="1" applyAlignment="1">
      <alignment horizontal="center" vertical="center"/>
    </xf>
    <xf numFmtId="4" fontId="0" fillId="0" borderId="4" xfId="0" applyNumberFormat="1" applyBorder="1" applyAlignment="1">
      <alignment horizontal="center"/>
    </xf>
    <xf numFmtId="49" fontId="2" fillId="0" borderId="0" xfId="0" applyNumberFormat="1" applyFont="1" applyAlignment="1">
      <alignment horizontal="center"/>
    </xf>
    <xf numFmtId="0" fontId="24" fillId="0" borderId="0" xfId="0" applyFont="1" applyAlignment="1">
      <alignment horizontal="center"/>
    </xf>
    <xf numFmtId="0" fontId="23" fillId="0" borderId="0" xfId="0" applyFont="1" applyAlignment="1">
      <alignment horizontal="center"/>
    </xf>
    <xf numFmtId="4" fontId="0" fillId="0" borderId="4" xfId="0" applyNumberFormat="1" applyBorder="1" applyAlignment="1">
      <alignment horizontal="center" vertical="center"/>
    </xf>
    <xf numFmtId="0" fontId="0" fillId="0" borderId="0" xfId="0"/>
    <xf numFmtId="0" fontId="0" fillId="0" borderId="0" xfId="0" applyAlignment="1">
      <alignment horizontal="center" vertical="center"/>
    </xf>
    <xf numFmtId="4" fontId="1" fillId="0" borderId="1" xfId="0" applyNumberFormat="1" applyFont="1" applyBorder="1" applyAlignment="1">
      <alignment horizontal="center"/>
    </xf>
    <xf numFmtId="2" fontId="1" fillId="0" borderId="1" xfId="0" applyNumberFormat="1" applyFont="1" applyBorder="1" applyAlignment="1">
      <alignment horizontal="center"/>
    </xf>
    <xf numFmtId="4" fontId="1" fillId="0" borderId="5" xfId="0" applyNumberFormat="1" applyFont="1" applyBorder="1" applyAlignment="1">
      <alignment horizontal="center"/>
    </xf>
  </cellXfs>
  <cellStyles count="3">
    <cellStyle name="Normal" xfId="0" builtinId="0"/>
    <cellStyle name="Normal 2" xfId="2" xr:uid="{C6CD7BC1-A093-4148-B1DC-88DB579F8A22}"/>
    <cellStyle name="Percent" xfId="1" builtinId="5"/>
  </cellStyles>
  <dxfs count="3">
    <dxf>
      <font>
        <condense val="0"/>
        <extend val="0"/>
        <color indexed="22"/>
      </font>
      <fill>
        <patternFill>
          <bgColor indexed="22"/>
        </patternFill>
      </fill>
    </dxf>
    <dxf>
      <font>
        <condense val="0"/>
        <extend val="0"/>
        <color indexed="48"/>
      </font>
      <fill>
        <patternFill patternType="none">
          <bgColor indexed="65"/>
        </patternFill>
      </fill>
    </dxf>
    <dxf>
      <font>
        <condense val="0"/>
        <extend val="0"/>
        <color indexed="22"/>
      </font>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19049</xdr:colOff>
      <xdr:row>2</xdr:row>
      <xdr:rowOff>76199</xdr:rowOff>
    </xdr:from>
    <xdr:to>
      <xdr:col>15</xdr:col>
      <xdr:colOff>315184</xdr:colOff>
      <xdr:row>2</xdr:row>
      <xdr:rowOff>2085974</xdr:rowOff>
    </xdr:to>
    <xdr:pic>
      <xdr:nvPicPr>
        <xdr:cNvPr id="2" name="Picture 1" descr="Table showing total midterm ADA broken out into the following student groupings: preschool (special ed), kindergarten, elementary, secondary, exceptional, alternative secondary, summer alternative secondary, and summer juvenile detention.">
          <a:extLst>
            <a:ext uri="{FF2B5EF4-FFF2-40B4-BE49-F238E27FC236}">
              <a16:creationId xmlns:a16="http://schemas.microsoft.com/office/drawing/2014/main" id="{BDA5C266-ABE5-422D-85BD-09A130E6CAD8}"/>
            </a:ext>
          </a:extLst>
        </xdr:cNvPr>
        <xdr:cNvPicPr>
          <a:picLocks noChangeAspect="1"/>
        </xdr:cNvPicPr>
      </xdr:nvPicPr>
      <xdr:blipFill>
        <a:blip xmlns:r="http://schemas.openxmlformats.org/officeDocument/2006/relationships" r:embed="rId1"/>
        <a:stretch>
          <a:fillRect/>
        </a:stretch>
      </xdr:blipFill>
      <xdr:spPr>
        <a:xfrm>
          <a:off x="6115049" y="733424"/>
          <a:ext cx="3344135" cy="2009775"/>
        </a:xfrm>
        <a:prstGeom prst="rect">
          <a:avLst/>
        </a:prstGeom>
        <a:ln w="12700">
          <a:solidFill>
            <a:sysClr val="windowText" lastClr="000000"/>
          </a:solidFill>
        </a:ln>
      </xdr:spPr>
    </xdr:pic>
    <xdr:clientData/>
  </xdr:twoCellAnchor>
  <xdr:twoCellAnchor editAs="oneCell">
    <xdr:from>
      <xdr:col>10</xdr:col>
      <xdr:colOff>19050</xdr:colOff>
      <xdr:row>2</xdr:row>
      <xdr:rowOff>2257425</xdr:rowOff>
    </xdr:from>
    <xdr:to>
      <xdr:col>15</xdr:col>
      <xdr:colOff>483969</xdr:colOff>
      <xdr:row>2</xdr:row>
      <xdr:rowOff>3990974</xdr:rowOff>
    </xdr:to>
    <xdr:pic>
      <xdr:nvPicPr>
        <xdr:cNvPr id="4" name="Picture 3" descr="Table showing total best 28 weeks ADA broken out into the following student groupings: preschool (special ed), kindergarten, elementary, secondary, exceptional, alternative secondary, summer alternative secondary, and summer juvenile detention.">
          <a:extLst>
            <a:ext uri="{FF2B5EF4-FFF2-40B4-BE49-F238E27FC236}">
              <a16:creationId xmlns:a16="http://schemas.microsoft.com/office/drawing/2014/main" id="{4866D5F0-BF47-433D-96AB-CCA889D5AC1C}"/>
            </a:ext>
          </a:extLst>
        </xdr:cNvPr>
        <xdr:cNvPicPr>
          <a:picLocks noChangeAspect="1"/>
        </xdr:cNvPicPr>
      </xdr:nvPicPr>
      <xdr:blipFill>
        <a:blip xmlns:r="http://schemas.openxmlformats.org/officeDocument/2006/relationships" r:embed="rId2"/>
        <a:stretch>
          <a:fillRect/>
        </a:stretch>
      </xdr:blipFill>
      <xdr:spPr>
        <a:xfrm>
          <a:off x="6115050" y="2914650"/>
          <a:ext cx="3512919" cy="1733549"/>
        </a:xfrm>
        <a:prstGeom prst="rect">
          <a:avLst/>
        </a:prstGeom>
        <a:ln w="12700">
          <a:solidFill>
            <a:schemeClr val="tx1"/>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I48"/>
  <sheetViews>
    <sheetView topLeftCell="A4" workbookViewId="0">
      <selection activeCell="G4" sqref="G4:H4"/>
    </sheetView>
  </sheetViews>
  <sheetFormatPr defaultColWidth="0" defaultRowHeight="12.75" zeroHeight="1" x14ac:dyDescent="0.2"/>
  <cols>
    <col min="1" max="1" width="9.140625" customWidth="1"/>
    <col min="2" max="2" width="24" customWidth="1"/>
    <col min="3" max="3" width="13.5703125" customWidth="1"/>
    <col min="4" max="4" width="3.140625" customWidth="1"/>
    <col min="5" max="5" width="14.7109375" customWidth="1"/>
    <col min="6" max="6" width="3.140625" customWidth="1"/>
    <col min="7" max="7" width="14.5703125" customWidth="1"/>
    <col min="8" max="8" width="3.140625" customWidth="1"/>
    <col min="9" max="9" width="9.140625" customWidth="1"/>
    <col min="10" max="16384" width="9.140625" hidden="1"/>
  </cols>
  <sheetData>
    <row r="1" spans="1:8" ht="20.25" x14ac:dyDescent="0.3">
      <c r="A1" s="76" t="s">
        <v>79</v>
      </c>
      <c r="B1" s="76"/>
      <c r="C1" s="76"/>
      <c r="D1" s="76"/>
      <c r="E1" s="76"/>
      <c r="F1" s="76"/>
      <c r="G1" s="76"/>
      <c r="H1" s="76"/>
    </row>
    <row r="2" spans="1:8" ht="48" customHeight="1" x14ac:dyDescent="0.2">
      <c r="A2" s="88" t="s">
        <v>118</v>
      </c>
      <c r="B2" s="88"/>
      <c r="C2" s="88"/>
      <c r="D2" s="88"/>
      <c r="E2" s="88"/>
      <c r="F2" s="88"/>
      <c r="G2" s="88"/>
      <c r="H2" s="88"/>
    </row>
    <row r="3" spans="1:8" ht="32.1" customHeight="1" thickBot="1" x14ac:dyDescent="0.25">
      <c r="A3" s="88" t="s">
        <v>119</v>
      </c>
      <c r="B3" s="88"/>
      <c r="C3" s="88"/>
      <c r="D3" s="88"/>
      <c r="E3" s="88"/>
      <c r="F3" s="88"/>
      <c r="G3" s="88"/>
      <c r="H3" s="88"/>
    </row>
    <row r="4" spans="1:8" ht="45.95" customHeight="1" thickBot="1" x14ac:dyDescent="0.25">
      <c r="A4" s="77" t="s">
        <v>120</v>
      </c>
      <c r="B4" s="78"/>
      <c r="C4" s="78"/>
      <c r="D4" s="78"/>
      <c r="E4" s="78"/>
      <c r="F4" s="58"/>
      <c r="G4" s="79"/>
      <c r="H4" s="80"/>
    </row>
    <row r="5" spans="1:8" ht="15.95" customHeight="1" thickBot="1" x14ac:dyDescent="0.25">
      <c r="A5" s="91" t="s">
        <v>102</v>
      </c>
      <c r="B5" s="92"/>
      <c r="C5" s="92"/>
      <c r="D5" s="92"/>
      <c r="E5" s="92"/>
      <c r="F5" s="55"/>
      <c r="G5" s="93" t="s">
        <v>100</v>
      </c>
      <c r="H5" s="94"/>
    </row>
    <row r="6" spans="1:8" ht="6" customHeight="1" thickBot="1" x14ac:dyDescent="0.35">
      <c r="A6" s="56"/>
      <c r="E6" s="57"/>
      <c r="G6" s="57"/>
    </row>
    <row r="7" spans="1:8" ht="45.95" customHeight="1" thickBot="1" x14ac:dyDescent="0.25">
      <c r="A7" s="77" t="s">
        <v>121</v>
      </c>
      <c r="B7" s="78"/>
      <c r="C7" s="78"/>
      <c r="D7" s="78"/>
      <c r="E7" s="78"/>
      <c r="F7" s="58"/>
      <c r="G7" s="79"/>
      <c r="H7" s="80"/>
    </row>
    <row r="8" spans="1:8" ht="15.95" customHeight="1" thickBot="1" x14ac:dyDescent="0.25">
      <c r="A8" s="91" t="s">
        <v>102</v>
      </c>
      <c r="B8" s="92"/>
      <c r="C8" s="92"/>
      <c r="D8" s="92"/>
      <c r="E8" s="92"/>
      <c r="F8" s="55"/>
      <c r="G8" s="93" t="s">
        <v>101</v>
      </c>
      <c r="H8" s="94"/>
    </row>
    <row r="9" spans="1:8" ht="6" customHeight="1" x14ac:dyDescent="0.3">
      <c r="A9" s="56"/>
      <c r="E9" s="57"/>
      <c r="G9" s="57"/>
    </row>
    <row r="10" spans="1:8" x14ac:dyDescent="0.2">
      <c r="A10" s="71"/>
      <c r="B10" s="71"/>
      <c r="C10" s="40"/>
      <c r="D10" s="40"/>
      <c r="E10" s="72"/>
      <c r="F10" s="40"/>
      <c r="G10" s="72"/>
      <c r="H10" s="40"/>
    </row>
    <row r="11" spans="1:8" x14ac:dyDescent="0.2">
      <c r="A11" s="71"/>
      <c r="B11" s="83" t="s">
        <v>112</v>
      </c>
      <c r="C11" s="83"/>
      <c r="D11" s="83"/>
      <c r="E11" s="83"/>
      <c r="F11" s="83"/>
      <c r="G11" s="83"/>
      <c r="H11" s="40"/>
    </row>
    <row r="12" spans="1:8" x14ac:dyDescent="0.2">
      <c r="A12" s="71"/>
      <c r="B12" s="73"/>
      <c r="C12" s="40"/>
      <c r="D12" s="40"/>
      <c r="E12" s="72"/>
      <c r="F12" s="40"/>
      <c r="G12" s="72"/>
      <c r="H12" s="40"/>
    </row>
    <row r="13" spans="1:8" ht="15.75" customHeight="1" x14ac:dyDescent="0.2">
      <c r="A13" s="85"/>
      <c r="B13" s="85"/>
      <c r="C13" s="89" t="s">
        <v>116</v>
      </c>
      <c r="D13" s="38"/>
      <c r="E13" s="86" t="s">
        <v>89</v>
      </c>
      <c r="F13" s="38"/>
      <c r="G13" s="86" t="s">
        <v>90</v>
      </c>
      <c r="H13" s="38"/>
    </row>
    <row r="14" spans="1:8" ht="24.95" customHeight="1" x14ac:dyDescent="0.2">
      <c r="A14" s="38"/>
      <c r="B14" s="38"/>
      <c r="C14" s="90"/>
      <c r="D14" s="38"/>
      <c r="E14" s="87"/>
      <c r="F14" s="38"/>
      <c r="G14" s="87"/>
      <c r="H14" s="38"/>
    </row>
    <row r="15" spans="1:8" ht="13.5" thickBot="1" x14ac:dyDescent="0.25">
      <c r="A15" s="7" t="s">
        <v>113</v>
      </c>
      <c r="C15" s="29"/>
      <c r="D15" s="38"/>
      <c r="E15" s="52">
        <f>C15*$G$4</f>
        <v>0</v>
      </c>
      <c r="F15" s="38"/>
      <c r="G15" s="53">
        <f>C15*$G$7</f>
        <v>0</v>
      </c>
      <c r="H15" s="38"/>
    </row>
    <row r="16" spans="1:8" x14ac:dyDescent="0.2">
      <c r="A16" s="38"/>
      <c r="B16" s="38"/>
      <c r="C16" s="38"/>
      <c r="D16" s="38"/>
      <c r="E16" s="54"/>
      <c r="F16" s="38"/>
      <c r="G16" s="28"/>
      <c r="H16" s="38"/>
    </row>
    <row r="17" spans="1:8" x14ac:dyDescent="0.2">
      <c r="A17" s="7" t="s">
        <v>47</v>
      </c>
      <c r="C17" s="35"/>
      <c r="D17" s="38"/>
      <c r="E17" s="54"/>
      <c r="F17" s="38"/>
      <c r="G17" s="28"/>
      <c r="H17" s="38"/>
    </row>
    <row r="18" spans="1:8" ht="13.5" thickBot="1" x14ac:dyDescent="0.25">
      <c r="B18" s="6" t="s">
        <v>39</v>
      </c>
      <c r="C18" s="29"/>
      <c r="D18" s="38"/>
      <c r="E18" s="52">
        <f>C18*$G$4</f>
        <v>0</v>
      </c>
      <c r="F18" s="38"/>
      <c r="G18" s="53">
        <f>C18*$G$7</f>
        <v>0</v>
      </c>
      <c r="H18" s="38"/>
    </row>
    <row r="19" spans="1:8" ht="13.5" thickBot="1" x14ac:dyDescent="0.25">
      <c r="B19" s="6" t="s">
        <v>40</v>
      </c>
      <c r="C19" s="30"/>
      <c r="D19" s="38"/>
      <c r="E19" s="52">
        <f>C19*$G$4</f>
        <v>0</v>
      </c>
      <c r="F19" s="38"/>
      <c r="G19" s="53">
        <f>C19*$G$7</f>
        <v>0</v>
      </c>
      <c r="H19" s="38"/>
    </row>
    <row r="20" spans="1:8" x14ac:dyDescent="0.2">
      <c r="A20" s="38"/>
      <c r="B20" s="38"/>
      <c r="C20" s="38"/>
      <c r="D20" s="38"/>
      <c r="E20" s="74">
        <f>IF(E19+E18=0,0,E19+E18)</f>
        <v>0</v>
      </c>
      <c r="F20" s="38"/>
      <c r="G20" s="74">
        <f>IF(G19+G18=0,0,G19+G18)</f>
        <v>0</v>
      </c>
      <c r="H20" s="38"/>
    </row>
    <row r="21" spans="1:8" ht="13.5" thickBot="1" x14ac:dyDescent="0.25">
      <c r="A21" s="7" t="s">
        <v>48</v>
      </c>
      <c r="C21" s="29"/>
      <c r="D21" s="38"/>
      <c r="E21" s="52">
        <f>C21*$G$4</f>
        <v>0</v>
      </c>
      <c r="F21" s="38"/>
      <c r="G21" s="53">
        <f>C21*$G$7</f>
        <v>0</v>
      </c>
      <c r="H21" s="38"/>
    </row>
    <row r="22" spans="1:8" x14ac:dyDescent="0.2">
      <c r="A22" s="48"/>
      <c r="B22" s="38"/>
      <c r="C22" s="49"/>
      <c r="D22" s="38"/>
      <c r="E22" s="44"/>
      <c r="F22" s="38"/>
      <c r="G22" s="50"/>
      <c r="H22" s="38"/>
    </row>
    <row r="23" spans="1:8" x14ac:dyDescent="0.2">
      <c r="A23" s="40"/>
      <c r="B23" s="83" t="s">
        <v>114</v>
      </c>
      <c r="C23" s="83"/>
      <c r="D23" s="83"/>
      <c r="E23" s="83"/>
      <c r="F23" s="83"/>
      <c r="G23" s="83"/>
      <c r="H23" s="40"/>
    </row>
    <row r="24" spans="1:8" x14ac:dyDescent="0.2">
      <c r="A24" s="38"/>
      <c r="B24" s="38"/>
      <c r="C24" s="84"/>
      <c r="D24" s="84"/>
      <c r="E24" s="51"/>
      <c r="F24" s="35"/>
      <c r="G24" s="51"/>
      <c r="H24" s="35"/>
    </row>
    <row r="25" spans="1:8" ht="13.5" thickBot="1" x14ac:dyDescent="0.25">
      <c r="A25" s="45" t="s">
        <v>95</v>
      </c>
      <c r="C25" s="35"/>
      <c r="D25" s="38"/>
      <c r="E25" s="31"/>
      <c r="F25" s="38"/>
      <c r="G25" s="32"/>
      <c r="H25" s="38"/>
    </row>
    <row r="26" spans="1:8" x14ac:dyDescent="0.2">
      <c r="A26" s="40"/>
      <c r="B26" s="40"/>
      <c r="C26" s="35"/>
      <c r="D26" s="38"/>
      <c r="E26" s="46"/>
      <c r="F26" s="40"/>
      <c r="G26" s="47"/>
      <c r="H26" s="38"/>
    </row>
    <row r="27" spans="1:8" ht="13.5" thickBot="1" x14ac:dyDescent="0.25">
      <c r="A27" s="45" t="s">
        <v>96</v>
      </c>
      <c r="C27" s="35"/>
      <c r="D27" s="38"/>
      <c r="E27" s="31"/>
      <c r="F27" s="38"/>
      <c r="G27" s="52">
        <f>E27</f>
        <v>0</v>
      </c>
      <c r="H27" s="38"/>
    </row>
    <row r="28" spans="1:8" x14ac:dyDescent="0.2">
      <c r="A28" s="43"/>
      <c r="B28" s="38"/>
      <c r="C28" s="35"/>
      <c r="D28" s="38"/>
      <c r="E28" s="44"/>
      <c r="F28" s="38"/>
      <c r="G28" s="28"/>
      <c r="H28" s="38"/>
    </row>
    <row r="29" spans="1:8" x14ac:dyDescent="0.2">
      <c r="A29" s="45" t="s">
        <v>97</v>
      </c>
      <c r="C29" s="35"/>
      <c r="D29" s="38"/>
      <c r="E29" s="35"/>
      <c r="F29" s="38"/>
      <c r="G29" s="28"/>
      <c r="H29" s="38"/>
    </row>
    <row r="30" spans="1:8" ht="13.5" thickBot="1" x14ac:dyDescent="0.25">
      <c r="A30" s="81" t="s">
        <v>109</v>
      </c>
      <c r="B30" s="82"/>
      <c r="C30" s="33"/>
      <c r="D30" s="38"/>
      <c r="E30" s="40"/>
      <c r="F30" s="38"/>
      <c r="G30" s="28"/>
      <c r="H30" s="38"/>
    </row>
    <row r="31" spans="1:8" x14ac:dyDescent="0.2">
      <c r="A31" s="41"/>
      <c r="B31" s="41"/>
      <c r="C31" s="42"/>
      <c r="D31" s="40"/>
      <c r="E31" s="40"/>
      <c r="F31" s="38"/>
      <c r="G31" s="28"/>
      <c r="H31" s="38"/>
    </row>
    <row r="32" spans="1:8" ht="39" customHeight="1" thickBot="1" x14ac:dyDescent="0.25">
      <c r="A32" s="81" t="s">
        <v>111</v>
      </c>
      <c r="B32" s="81"/>
      <c r="C32" s="31"/>
      <c r="D32" s="38"/>
      <c r="E32" s="40"/>
      <c r="F32" s="38"/>
      <c r="G32" s="28"/>
      <c r="H32" s="38"/>
    </row>
    <row r="33" spans="1:8" x14ac:dyDescent="0.2">
      <c r="A33" s="38"/>
      <c r="B33" s="38"/>
      <c r="C33" s="35"/>
      <c r="D33" s="38"/>
      <c r="E33" s="35"/>
      <c r="F33" s="38"/>
      <c r="G33" s="28"/>
      <c r="H33" s="38"/>
    </row>
    <row r="34" spans="1:8" x14ac:dyDescent="0.2">
      <c r="A34" s="39" t="s">
        <v>99</v>
      </c>
      <c r="E34" s="38"/>
      <c r="F34" s="35"/>
      <c r="G34" s="35"/>
      <c r="H34" s="35"/>
    </row>
    <row r="35" spans="1:8" ht="13.5" thickBot="1" x14ac:dyDescent="0.25">
      <c r="A35" s="75" t="s">
        <v>47</v>
      </c>
      <c r="B35" s="75"/>
      <c r="C35" s="34"/>
      <c r="D35" s="35"/>
      <c r="E35" s="35"/>
      <c r="F35" s="35"/>
      <c r="G35" s="35"/>
      <c r="H35" s="35"/>
    </row>
    <row r="36" spans="1:8" ht="13.5" thickBot="1" x14ac:dyDescent="0.25">
      <c r="A36" s="75" t="s">
        <v>48</v>
      </c>
      <c r="B36" s="75"/>
      <c r="C36" s="34"/>
      <c r="D36" s="35"/>
      <c r="E36" s="35"/>
      <c r="F36" s="35"/>
      <c r="G36" s="35"/>
      <c r="H36" s="35"/>
    </row>
    <row r="37" spans="1:8" x14ac:dyDescent="0.2">
      <c r="A37" s="35"/>
      <c r="B37" s="35"/>
      <c r="C37" s="35"/>
      <c r="D37" s="35"/>
      <c r="E37" s="35"/>
      <c r="F37" s="35"/>
      <c r="G37" s="35"/>
      <c r="H37" s="35"/>
    </row>
    <row r="38" spans="1:8" x14ac:dyDescent="0.2">
      <c r="A38" s="35"/>
      <c r="B38" s="35"/>
      <c r="C38" s="68" t="s">
        <v>110</v>
      </c>
      <c r="D38" s="35"/>
      <c r="E38" s="70">
        <f>E15+E18+E19+E21+E25+E27+((C30*C32)/16)</f>
        <v>0</v>
      </c>
      <c r="F38" s="35"/>
      <c r="G38" s="70">
        <f>G15+G18+G19+G21+G25+G27+((C30*C32)/16)</f>
        <v>0</v>
      </c>
      <c r="H38" s="35"/>
    </row>
    <row r="39" spans="1:8" x14ac:dyDescent="0.2">
      <c r="A39" s="35"/>
      <c r="B39" s="35"/>
      <c r="C39" s="35"/>
      <c r="D39" s="35"/>
      <c r="E39" s="35"/>
      <c r="F39" s="35"/>
      <c r="G39" s="35"/>
      <c r="H39" s="35"/>
    </row>
    <row r="40" spans="1:8" x14ac:dyDescent="0.2"/>
    <row r="41" spans="1:8" x14ac:dyDescent="0.2">
      <c r="A41" s="36" t="s">
        <v>87</v>
      </c>
      <c r="B41" s="6" t="s">
        <v>91</v>
      </c>
    </row>
    <row r="42" spans="1:8" x14ac:dyDescent="0.2">
      <c r="B42" s="37" t="s">
        <v>94</v>
      </c>
    </row>
    <row r="43" spans="1:8" x14ac:dyDescent="0.2">
      <c r="B43" s="37" t="s">
        <v>98</v>
      </c>
    </row>
    <row r="44" spans="1:8" x14ac:dyDescent="0.2">
      <c r="B44" s="6"/>
    </row>
    <row r="45" spans="1:8" x14ac:dyDescent="0.2">
      <c r="A45" s="36" t="s">
        <v>88</v>
      </c>
      <c r="B45" s="6" t="s">
        <v>92</v>
      </c>
    </row>
    <row r="46" spans="1:8" x14ac:dyDescent="0.2">
      <c r="B46" s="37" t="s">
        <v>93</v>
      </c>
    </row>
    <row r="47" spans="1:8" x14ac:dyDescent="0.2"/>
    <row r="48" spans="1:8" x14ac:dyDescent="0.2"/>
  </sheetData>
  <sheetProtection algorithmName="SHA-512" hashValue="z6xtDnuTV7u4EudYbIVc9rw0XikYrcjkqh1UMG7pOwIVHxW2mL05c3CCqchlJVpPQZr6c7Sp4hCdAfo4HKFEMQ==" saltValue="SdYDDhKT7DHlCk3yeD1xhQ==" spinCount="100000" sheet="1" selectLockedCells="1"/>
  <mergeCells count="22">
    <mergeCell ref="C13:C14"/>
    <mergeCell ref="A5:E5"/>
    <mergeCell ref="G5:H5"/>
    <mergeCell ref="A8:E8"/>
    <mergeCell ref="G8:H8"/>
    <mergeCell ref="B11:G11"/>
    <mergeCell ref="A35:B35"/>
    <mergeCell ref="A36:B36"/>
    <mergeCell ref="A1:H1"/>
    <mergeCell ref="A7:E7"/>
    <mergeCell ref="G4:H4"/>
    <mergeCell ref="G7:H7"/>
    <mergeCell ref="A30:B30"/>
    <mergeCell ref="A32:B32"/>
    <mergeCell ref="A4:E4"/>
    <mergeCell ref="B23:G23"/>
    <mergeCell ref="C24:D24"/>
    <mergeCell ref="A13:B13"/>
    <mergeCell ref="E13:E14"/>
    <mergeCell ref="G13:G14"/>
    <mergeCell ref="A2:H2"/>
    <mergeCell ref="A3:H3"/>
  </mergeCells>
  <phoneticPr fontId="0" type="noConversion"/>
  <conditionalFormatting sqref="F24 H24">
    <cfRule type="expression" dxfId="2" priority="1" stopIfTrue="1">
      <formula>E21=0</formula>
    </cfRule>
    <cfRule type="expression" dxfId="1" priority="2" stopIfTrue="1">
      <formula>E24="Grade 7 thru"</formula>
    </cfRule>
    <cfRule type="expression" dxfId="0" priority="3" stopIfTrue="1">
      <formula>E21&gt;99.99</formula>
    </cfRule>
  </conditionalFormatting>
  <pageMargins left="0.75" right="0.75" top="0.5" bottom="0.25" header="0.5" footer="0.25"/>
  <pageSetup orientation="portrait" r:id="rId1"/>
  <headerFooter alignWithMargins="0">
    <oddFooter>&amp;L&amp;F</oddFooter>
  </headerFooter>
  <ignoredErrors>
    <ignoredError sqref="E20 G20" formula="1"/>
    <ignoredError sqref="G2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6B136-AD8F-4F84-8EB2-D704C417F3DB}">
  <dimension ref="A1:P5"/>
  <sheetViews>
    <sheetView tabSelected="1" zoomScaleNormal="100" workbookViewId="0">
      <selection sqref="A1:J1"/>
    </sheetView>
  </sheetViews>
  <sheetFormatPr defaultColWidth="0" defaultRowHeight="12.75" zeroHeight="1" x14ac:dyDescent="0.2"/>
  <cols>
    <col min="1" max="16" width="9.140625" style="59" customWidth="1"/>
    <col min="17" max="16384" width="9.140625" style="59" hidden="1"/>
  </cols>
  <sheetData>
    <row r="1" spans="1:10" ht="20.25" x14ac:dyDescent="0.3">
      <c r="A1" s="95" t="s">
        <v>103</v>
      </c>
      <c r="B1" s="95"/>
      <c r="C1" s="95"/>
      <c r="D1" s="95"/>
      <c r="E1" s="95"/>
      <c r="F1" s="95"/>
      <c r="G1" s="95"/>
      <c r="H1" s="95"/>
      <c r="I1" s="95"/>
      <c r="J1" s="95"/>
    </row>
    <row r="2" spans="1:10" ht="32.1" customHeight="1" x14ac:dyDescent="0.2">
      <c r="A2" s="96" t="s">
        <v>104</v>
      </c>
      <c r="B2" s="96"/>
      <c r="C2" s="96"/>
      <c r="D2" s="96"/>
      <c r="E2" s="96"/>
      <c r="F2" s="96"/>
      <c r="G2" s="96"/>
      <c r="H2" s="96"/>
      <c r="I2" s="96"/>
      <c r="J2" s="96"/>
    </row>
    <row r="3" spans="1:10" ht="316.5" customHeight="1" x14ac:dyDescent="0.2">
      <c r="A3" s="96" t="s">
        <v>117</v>
      </c>
      <c r="B3" s="97"/>
      <c r="C3" s="97"/>
      <c r="D3" s="97"/>
      <c r="E3" s="97"/>
      <c r="F3" s="97"/>
      <c r="G3" s="97"/>
      <c r="H3" s="97"/>
      <c r="I3" s="97"/>
      <c r="J3" s="97"/>
    </row>
    <row r="4" spans="1:10" x14ac:dyDescent="0.2"/>
    <row r="5" spans="1:10" x14ac:dyDescent="0.2"/>
  </sheetData>
  <sheetProtection algorithmName="SHA-512" hashValue="c205P2N79fcpIzjhXcSzc40FNW4bhMpTV+7B/oib4rxYY581huACoUh+Uzfzu36t6DiYdyhvqfoxp4GhbmsZHQ==" saltValue="NeaKMn8Rt2hFMgDLo3zXsQ==" spinCount="100000" sheet="1" objects="1" scenarios="1"/>
  <mergeCells count="3">
    <mergeCell ref="A1:J1"/>
    <mergeCell ref="A2:J2"/>
    <mergeCell ref="A3:J3"/>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44"/>
  <sheetViews>
    <sheetView showGridLines="0" zoomScale="90" zoomScaleNormal="100" workbookViewId="0">
      <selection sqref="A1:O1"/>
    </sheetView>
  </sheetViews>
  <sheetFormatPr defaultColWidth="0" defaultRowHeight="12.75" zeroHeight="1" x14ac:dyDescent="0.2"/>
  <cols>
    <col min="1" max="1" width="4.140625" style="3" customWidth="1"/>
    <col min="2" max="2" width="2.5703125" customWidth="1"/>
    <col min="3" max="4" width="9.140625" customWidth="1"/>
    <col min="5" max="5" width="5.85546875" customWidth="1"/>
    <col min="6" max="6" width="8.85546875" customWidth="1"/>
    <col min="7" max="7" width="3.140625" customWidth="1"/>
    <col min="8" max="8" width="10.140625" customWidth="1"/>
    <col min="9" max="9" width="3.85546875" customWidth="1"/>
    <col min="10" max="10" width="8.140625" customWidth="1"/>
    <col min="11" max="11" width="6.28515625" customWidth="1"/>
    <col min="12" max="12" width="5.5703125" customWidth="1"/>
    <col min="13" max="13" width="10.7109375" customWidth="1"/>
    <col min="14" max="14" width="8.140625" customWidth="1"/>
    <col min="15" max="15" width="12.28515625" customWidth="1"/>
    <col min="16" max="16" width="10.28515625" customWidth="1"/>
    <col min="17" max="18" width="4.7109375" style="27" customWidth="1"/>
    <col min="19" max="19" width="4.140625" customWidth="1"/>
    <col min="20" max="20" width="2.5703125" customWidth="1"/>
    <col min="21" max="24" width="9.140625" customWidth="1"/>
    <col min="25" max="25" width="4.5703125" customWidth="1"/>
    <col min="26" max="26" width="10.140625" customWidth="1"/>
    <col min="27" max="27" width="3.140625" customWidth="1"/>
    <col min="28" max="28" width="9.140625" customWidth="1"/>
    <col min="29" max="29" width="6.28515625" customWidth="1"/>
    <col min="30" max="30" width="3.85546875" customWidth="1"/>
    <col min="31" max="31" width="10.7109375" customWidth="1"/>
    <col min="32" max="32" width="8.140625" customWidth="1"/>
    <col min="33" max="33" width="12.28515625" customWidth="1"/>
    <col min="34" max="34" width="11.5703125" customWidth="1"/>
    <col min="35" max="35" width="4.7109375" style="63" customWidth="1"/>
    <col min="36" max="42" width="0" hidden="1" customWidth="1"/>
    <col min="43" max="16384" width="9.140625" hidden="1"/>
  </cols>
  <sheetData>
    <row r="1" spans="1:42" ht="17.100000000000001" customHeight="1" x14ac:dyDescent="0.2">
      <c r="A1" s="100" t="s">
        <v>65</v>
      </c>
      <c r="B1" s="100"/>
      <c r="C1" s="100"/>
      <c r="D1" s="100"/>
      <c r="E1" s="100"/>
      <c r="F1" s="100"/>
      <c r="G1" s="100"/>
      <c r="H1" s="100"/>
      <c r="I1" s="100"/>
      <c r="J1" s="100"/>
      <c r="K1" s="100"/>
      <c r="L1" s="100"/>
      <c r="M1" s="100"/>
      <c r="N1" s="100"/>
      <c r="O1" s="100"/>
      <c r="P1" s="60"/>
      <c r="Q1" s="64"/>
      <c r="S1" s="100" t="s">
        <v>65</v>
      </c>
      <c r="T1" s="100"/>
      <c r="U1" s="100"/>
      <c r="V1" s="100"/>
      <c r="W1" s="100"/>
      <c r="X1" s="100"/>
      <c r="Y1" s="100"/>
      <c r="Z1" s="100"/>
      <c r="AA1" s="100"/>
      <c r="AB1" s="100"/>
      <c r="AC1" s="100"/>
      <c r="AD1" s="100"/>
      <c r="AE1" s="100"/>
      <c r="AF1" s="100"/>
      <c r="AG1" s="100"/>
      <c r="AH1" s="60"/>
    </row>
    <row r="2" spans="1:42" ht="17.100000000000001" customHeight="1" x14ac:dyDescent="0.2">
      <c r="A2" s="100" t="s">
        <v>106</v>
      </c>
      <c r="B2" s="100"/>
      <c r="C2" s="100"/>
      <c r="D2" s="100"/>
      <c r="E2" s="100"/>
      <c r="F2" s="100"/>
      <c r="G2" s="100"/>
      <c r="H2" s="100"/>
      <c r="I2" s="100"/>
      <c r="J2" s="100"/>
      <c r="K2" s="100"/>
      <c r="L2" s="100"/>
      <c r="M2" s="100"/>
      <c r="N2" s="100"/>
      <c r="O2" s="100"/>
      <c r="Q2" s="64"/>
      <c r="S2" s="100" t="s">
        <v>86</v>
      </c>
      <c r="T2" s="100"/>
      <c r="U2" s="100"/>
      <c r="V2" s="100"/>
      <c r="W2" s="100"/>
      <c r="X2" s="100"/>
      <c r="Y2" s="100"/>
      <c r="Z2" s="100"/>
      <c r="AA2" s="100"/>
      <c r="AB2" s="100"/>
      <c r="AC2" s="100"/>
      <c r="AD2" s="100"/>
      <c r="AE2" s="100"/>
      <c r="AF2" s="100"/>
      <c r="AG2" s="100"/>
      <c r="AH2" s="60"/>
    </row>
    <row r="3" spans="1:42" ht="17.100000000000001" customHeight="1" x14ac:dyDescent="0.25">
      <c r="A3" s="100" t="s">
        <v>108</v>
      </c>
      <c r="B3" s="100"/>
      <c r="C3" s="100"/>
      <c r="D3" s="100"/>
      <c r="E3" s="100"/>
      <c r="F3" s="100"/>
      <c r="G3" s="100"/>
      <c r="H3" s="100"/>
      <c r="I3" s="100"/>
      <c r="J3" s="100"/>
      <c r="K3" s="100"/>
      <c r="L3" s="100"/>
      <c r="M3" s="100"/>
      <c r="N3" s="100"/>
      <c r="O3" s="100"/>
      <c r="Q3" s="64"/>
      <c r="S3" s="102" t="s">
        <v>107</v>
      </c>
      <c r="T3" s="102"/>
      <c r="U3" s="102"/>
      <c r="V3" s="102"/>
      <c r="W3" s="102"/>
      <c r="X3" s="102"/>
      <c r="Y3" s="102"/>
      <c r="Z3" s="102"/>
      <c r="AA3" s="102"/>
      <c r="AB3" s="102"/>
      <c r="AC3" s="102"/>
      <c r="AD3" s="102"/>
      <c r="AE3" s="102"/>
      <c r="AF3" s="102"/>
      <c r="AG3" s="102"/>
    </row>
    <row r="4" spans="1:42" ht="7.5" customHeight="1" x14ac:dyDescent="0.2">
      <c r="Q4" s="64"/>
    </row>
    <row r="5" spans="1:42" ht="31.5" customHeight="1" x14ac:dyDescent="0.2">
      <c r="A5" s="10" t="s">
        <v>38</v>
      </c>
      <c r="F5" s="25" t="s">
        <v>66</v>
      </c>
      <c r="H5" s="26" t="s">
        <v>70</v>
      </c>
      <c r="I5" s="12"/>
      <c r="J5" s="86" t="s">
        <v>71</v>
      </c>
      <c r="K5" s="87"/>
      <c r="M5" s="14" t="s">
        <v>67</v>
      </c>
      <c r="O5" s="24" t="s">
        <v>68</v>
      </c>
      <c r="Q5" s="64"/>
      <c r="S5" s="10" t="s">
        <v>38</v>
      </c>
      <c r="X5" s="25" t="s">
        <v>66</v>
      </c>
      <c r="Z5" s="26" t="s">
        <v>70</v>
      </c>
      <c r="AA5" s="12"/>
      <c r="AB5" s="86" t="s">
        <v>71</v>
      </c>
      <c r="AC5" s="87"/>
      <c r="AE5" s="14" t="s">
        <v>67</v>
      </c>
      <c r="AG5" s="24" t="s">
        <v>68</v>
      </c>
    </row>
    <row r="6" spans="1:42" ht="6.75" customHeight="1" x14ac:dyDescent="0.2">
      <c r="Q6" s="67"/>
      <c r="S6" s="3"/>
      <c r="AH6" s="6" t="str">
        <f>IF('Enrollment Input'!V15=0," ",IF(AG7=0,"ADD to 1-6",IF(AG7=AI6," ","Minimum")))</f>
        <v xml:space="preserve"> </v>
      </c>
    </row>
    <row r="7" spans="1:42" ht="15.75" x14ac:dyDescent="0.25">
      <c r="B7" s="7" t="s">
        <v>113</v>
      </c>
      <c r="F7" s="62" t="str">
        <f>IF('Enrollment Input'!$E$15=0,"0",'Enrollment Input'!$E$15)</f>
        <v>0</v>
      </c>
      <c r="G7" s="22"/>
      <c r="H7" s="21"/>
      <c r="I7" s="21"/>
      <c r="J7" s="99" t="str">
        <f>IF('Enrollment Input'!$E$15=0,"0",'Enrollment Input'!$E$15)</f>
        <v>0</v>
      </c>
      <c r="K7" s="99"/>
      <c r="L7" s="13" t="s">
        <v>42</v>
      </c>
      <c r="M7" s="9">
        <f>IF('Enrollment Input'!E15=0,0,LOOKUP(J7,criteria!$A$3:$A$10,criteria!$B$3:$B$10))</f>
        <v>0</v>
      </c>
      <c r="N7" s="11" t="s">
        <v>14</v>
      </c>
      <c r="O7" s="62">
        <f>IF(Q7=0,0,IF(Q7&lt;LOOKUP(J7,criteria!$A$3:$A$10,criteria!$C$3:$C$10),LOOKUP(J7,criteria!$A$3:$A$10,criteria!$C$3:$C$10),IF(LOOKUP(J7,criteria!$A$3:$A$10,criteria!$C$3:$C$10)=0,0,Q7)))</f>
        <v>0</v>
      </c>
      <c r="P7" s="6" t="str">
        <f>IF('Enrollment Input'!E15=0," ",IF(O7=0,"ADD to 1-6",IF(O7=Q7," ","Minimum")))</f>
        <v xml:space="preserve"> </v>
      </c>
      <c r="Q7" s="67">
        <f>ROUND(IF('Enrollment Input'!E15=0,0,IF(M7=0,0,(J7/M7))),2)</f>
        <v>0</v>
      </c>
      <c r="S7" s="3"/>
      <c r="T7" s="7" t="s">
        <v>113</v>
      </c>
      <c r="X7" s="62" t="str">
        <f>IF('Enrollment Input'!$E$15=0,"0",'Enrollment Input'!$E$15)</f>
        <v>0</v>
      </c>
      <c r="Y7" s="21"/>
      <c r="Z7" s="21"/>
      <c r="AA7" s="21"/>
      <c r="AB7" s="99" t="str">
        <f>IF('Enrollment Input'!E15=0,"0",'Enrollment Input'!E15)</f>
        <v>0</v>
      </c>
      <c r="AC7" s="99"/>
      <c r="AD7" s="13" t="s">
        <v>42</v>
      </c>
      <c r="AE7" s="9">
        <f>IF('Enrollment Input'!E15=0,0,LOOKUP(AB7,criteria!$A$3:$A$10,criteria!$B$3:$B$10))</f>
        <v>0</v>
      </c>
      <c r="AF7" s="22" t="s">
        <v>14</v>
      </c>
      <c r="AG7" s="62">
        <f>IF(AI7=0,0,IF(AI7&lt;LOOKUP(AB7,criteria!$A$3:$A$10,criteria!$C$3:$C$10),LOOKUP(AB7,criteria!$A$3:$A$10,criteria!$C$3:$C$10),IF(LOOKUP(AB7,criteria!$A$3:$A$10,criteria!$C$3:$C$10)=0,0,AI7)))</f>
        <v>0</v>
      </c>
      <c r="AH7" s="6" t="str">
        <f>IF('Enrollment Input'!E15=0," ",IF(AG7=0,"ADD to 1-6",IF(AG7=AI7," ","Minimum")))</f>
        <v xml:space="preserve"> </v>
      </c>
      <c r="AI7" s="63">
        <f>ROUND(IF('Enrollment Input'!E15=0,0,IF(AE7=0,0,(AB7/AE7))),2)</f>
        <v>0</v>
      </c>
      <c r="AJ7" s="66"/>
      <c r="AK7" s="66"/>
      <c r="AL7" s="66"/>
      <c r="AM7" s="66"/>
      <c r="AN7" s="66"/>
      <c r="AO7" s="66"/>
      <c r="AP7" s="66"/>
    </row>
    <row r="8" spans="1:42" ht="6.75" customHeight="1" x14ac:dyDescent="0.2">
      <c r="F8" s="21"/>
      <c r="G8" s="21"/>
      <c r="H8" s="21"/>
      <c r="I8" s="21"/>
      <c r="J8" s="21"/>
      <c r="K8" s="21"/>
      <c r="O8" s="21"/>
      <c r="Q8" s="67"/>
      <c r="S8" s="3"/>
      <c r="X8" s="21"/>
      <c r="Y8" s="21"/>
      <c r="Z8" s="21"/>
      <c r="AA8" s="21"/>
      <c r="AB8" s="21"/>
      <c r="AC8" s="21"/>
      <c r="AF8" s="21"/>
      <c r="AG8" s="21"/>
      <c r="AJ8" s="66"/>
      <c r="AK8" s="66"/>
      <c r="AL8" s="66"/>
      <c r="AM8" s="66"/>
      <c r="AN8" s="66"/>
      <c r="AO8" s="66"/>
      <c r="AP8" s="66"/>
    </row>
    <row r="9" spans="1:42" x14ac:dyDescent="0.2">
      <c r="B9" s="7" t="s">
        <v>47</v>
      </c>
      <c r="F9" s="21"/>
      <c r="G9" s="21"/>
      <c r="H9" s="21"/>
      <c r="I9" s="21"/>
      <c r="J9" s="21"/>
      <c r="K9" s="21"/>
      <c r="O9" s="21"/>
      <c r="Q9" s="67"/>
      <c r="S9" s="3"/>
      <c r="T9" s="7" t="s">
        <v>47</v>
      </c>
      <c r="X9" s="21"/>
      <c r="Y9" s="21"/>
      <c r="Z9" s="21"/>
      <c r="AA9" s="21"/>
      <c r="AB9" s="21"/>
      <c r="AC9" s="21"/>
      <c r="AF9" s="21"/>
      <c r="AG9" s="21"/>
      <c r="AJ9" s="66"/>
      <c r="AK9" s="66"/>
      <c r="AL9" s="66"/>
      <c r="AM9" s="66"/>
      <c r="AN9" s="66"/>
      <c r="AO9" s="66"/>
      <c r="AP9" s="66"/>
    </row>
    <row r="10" spans="1:42" x14ac:dyDescent="0.2">
      <c r="B10" s="6" t="s">
        <v>69</v>
      </c>
      <c r="F10" s="21"/>
      <c r="G10" s="21"/>
      <c r="H10" s="21"/>
      <c r="I10" s="21"/>
      <c r="J10" s="21"/>
      <c r="K10" s="21"/>
      <c r="O10" s="21"/>
      <c r="Q10" s="67"/>
      <c r="S10" s="3"/>
      <c r="T10" s="6" t="s">
        <v>69</v>
      </c>
      <c r="X10" s="21"/>
      <c r="Y10" s="21"/>
      <c r="Z10" s="21"/>
      <c r="AA10" s="21"/>
      <c r="AB10" s="21"/>
      <c r="AC10" s="21"/>
      <c r="AF10" s="21"/>
      <c r="AG10" s="21"/>
      <c r="AJ10" s="66"/>
      <c r="AK10" s="66"/>
      <c r="AL10" s="66"/>
      <c r="AM10" s="66"/>
      <c r="AN10" s="66"/>
      <c r="AO10" s="66"/>
      <c r="AP10" s="66"/>
    </row>
    <row r="11" spans="1:42" ht="16.5" customHeight="1" x14ac:dyDescent="0.25">
      <c r="C11" s="8" t="s">
        <v>39</v>
      </c>
      <c r="F11" s="62" t="str">
        <f>IF(J11=0," ",IF($J$16&gt;300," ",'Enrollment Input'!E18))</f>
        <v xml:space="preserve"> </v>
      </c>
      <c r="G11" s="65" t="s">
        <v>75</v>
      </c>
      <c r="H11" s="62" t="str">
        <f>IF(J11=0," ",'Exceptional Child Calc'!H25)</f>
        <v xml:space="preserve"> </v>
      </c>
      <c r="I11" s="22" t="s">
        <v>14</v>
      </c>
      <c r="J11" s="99">
        <f>IF('Enrollment Input'!E18=0,0,IF(SUM('Enrollment Input'!E18-'Exceptional Child Calc'!H25)+SUM('Enrollment Input'!E19-'Exceptional Child Calc'!H26)&gt;299.99,SUM('Enrollment Input'!E18-'Exceptional Child Calc'!H25),0))</f>
        <v>0</v>
      </c>
      <c r="K11" s="99"/>
      <c r="L11" s="13" t="s">
        <v>42</v>
      </c>
      <c r="M11" s="9">
        <f>IF(SUM('Enrollment Input'!$E$18-'Exceptional Child Calc'!$H$25)+SUM('Enrollment Input'!$E$19-'Exceptional Child Calc'!$H$26)&gt;299.99,20,0)</f>
        <v>0</v>
      </c>
      <c r="N11" s="11" t="s">
        <v>14</v>
      </c>
      <c r="O11" s="62">
        <f>ROUND(IF(SUM('Enrollment Input'!$E$18-'Exceptional Child Calc'!$H$25)+SUM('Enrollment Input'!$E$19-'Exceptional Child Calc'!$H$26)&lt;300,0,IF(Q11+Q13&lt;15,0,(J11/M11))),2)</f>
        <v>0</v>
      </c>
      <c r="P11" t="str">
        <f>IF(O11=0," ",IF(O11=Q11," ","Minimum"))</f>
        <v xml:space="preserve"> </v>
      </c>
      <c r="Q11" s="67">
        <f>ROUND(IF(SUM('Enrollment Input'!$E$18-'Exceptional Child Calc'!$H$25)+SUM('Enrollment Input'!$E$19-'Exceptional Child Calc'!$H$26)&lt;300,0,(J11/M11)),2)</f>
        <v>0</v>
      </c>
      <c r="S11" s="3"/>
      <c r="T11" s="8"/>
      <c r="U11" s="8" t="s">
        <v>39</v>
      </c>
      <c r="X11" s="62" t="str">
        <f>IF(AB11=0," ",IF($AB$16&gt;300," ",'Enrollment Input'!E18))</f>
        <v xml:space="preserve"> </v>
      </c>
      <c r="Y11" s="65" t="s">
        <v>75</v>
      </c>
      <c r="Z11" s="62" t="str">
        <f>IF(AB11=0," ",'Exceptional Child Calc'!H25)</f>
        <v xml:space="preserve"> </v>
      </c>
      <c r="AA11" s="22" t="s">
        <v>14</v>
      </c>
      <c r="AB11" s="99">
        <f>IF('Enrollment Input'!E18=0,0,IF(SUM('Enrollment Input'!E18-'Exceptional Child Calc'!H25)+SUM('Enrollment Input'!E19-'Exceptional Child Calc'!H26)&gt;299.99,SUM('Enrollment Input'!E18-'Exceptional Child Calc'!H25),0))</f>
        <v>0</v>
      </c>
      <c r="AC11" s="99"/>
      <c r="AD11" s="13" t="s">
        <v>42</v>
      </c>
      <c r="AE11" s="9">
        <f>IF(SUM('Enrollment Input'!$E$18-'Exceptional Child Calc'!$H$25)+SUM('Enrollment Input'!$E$19-'Exceptional Child Calc'!$H$26)&gt;299.99,20,0)</f>
        <v>0</v>
      </c>
      <c r="AF11" s="22" t="s">
        <v>14</v>
      </c>
      <c r="AG11" s="62">
        <f>ROUND(IF(SUM('Enrollment Input'!$E$18-'Exceptional Child Calc'!$H$25)+SUM('Enrollment Input'!$E$19-'Exceptional Child Calc'!$H$26)&lt;300,0,IF(AI11+AI13&lt;15,0,(AB11/AE11))),2)</f>
        <v>0</v>
      </c>
      <c r="AH11" t="str">
        <f>IF(AG11=0," ",IF(AG11=AI11," ","Minimum"))</f>
        <v xml:space="preserve"> </v>
      </c>
      <c r="AI11" s="63">
        <f>ROUND(IF(SUM('Enrollment Input'!$E$18-'Exceptional Child Calc'!$H$25)+SUM('Enrollment Input'!$E$19-'Exceptional Child Calc'!$H$26)&lt;300,0,(AB11/AE11)),2)</f>
        <v>0</v>
      </c>
      <c r="AJ11" s="66"/>
      <c r="AK11" s="66"/>
      <c r="AL11" s="66"/>
      <c r="AM11" s="66"/>
      <c r="AN11" s="66"/>
      <c r="AO11" s="66"/>
      <c r="AP11" s="66"/>
    </row>
    <row r="12" spans="1:42" ht="9" customHeight="1" x14ac:dyDescent="0.2">
      <c r="B12" s="8"/>
      <c r="F12" s="21"/>
      <c r="G12" s="21"/>
      <c r="H12" s="21"/>
      <c r="I12" s="21"/>
      <c r="J12" s="21"/>
      <c r="K12" s="21"/>
      <c r="O12" s="21"/>
      <c r="Q12" s="67"/>
      <c r="S12" s="3"/>
      <c r="X12" s="21"/>
      <c r="Y12" s="21"/>
      <c r="Z12" s="21"/>
      <c r="AA12" s="21"/>
      <c r="AB12" s="21"/>
      <c r="AC12" s="21"/>
      <c r="AF12" s="21"/>
      <c r="AG12" s="21"/>
      <c r="AJ12" s="66"/>
      <c r="AK12" s="66"/>
      <c r="AL12" s="66"/>
      <c r="AM12" s="66"/>
      <c r="AN12" s="66"/>
      <c r="AO12" s="66"/>
      <c r="AP12" s="66"/>
    </row>
    <row r="13" spans="1:42" ht="15.75" x14ac:dyDescent="0.25">
      <c r="C13" s="8" t="s">
        <v>40</v>
      </c>
      <c r="F13" s="62" t="str">
        <f>IF(J13=0," ",IF($J$16&gt;300," ",'Enrollment Input'!E19))</f>
        <v xml:space="preserve"> </v>
      </c>
      <c r="G13" s="65" t="s">
        <v>75</v>
      </c>
      <c r="H13" s="62" t="str">
        <f>IF(J13=0," ",'Exceptional Child Calc'!H26)</f>
        <v xml:space="preserve"> </v>
      </c>
      <c r="I13" s="22" t="s">
        <v>14</v>
      </c>
      <c r="J13" s="99">
        <f>IF('Enrollment Input'!E19=0,0,IF(SUM('Enrollment Input'!E18-'Exceptional Child Calc'!H25)+SUM('Enrollment Input'!E19-'Exceptional Child Calc'!H26)&gt;299.99,SUM('Enrollment Input'!E19-'Exceptional Child Calc'!H26),0))</f>
        <v>0</v>
      </c>
      <c r="K13" s="99"/>
      <c r="L13" s="13" t="s">
        <v>42</v>
      </c>
      <c r="M13" s="9">
        <f>IF(SUM('Enrollment Input'!$E$18-'Exceptional Child Calc'!$H$25)+SUM('Enrollment Input'!$E$19-'Exceptional Child Calc'!$H$26)&gt;299.99,23,0)</f>
        <v>0</v>
      </c>
      <c r="N13" s="11" t="s">
        <v>14</v>
      </c>
      <c r="O13" s="62">
        <f>ROUND(IF(SUM('Enrollment Input'!$E$18-'Exceptional Child Calc'!$H$25)+SUM('Enrollment Input'!$E$19-'Exceptional Child Calc'!$H$26)&lt;300,0,IF(Q11+Q13&lt;15,0,($J$13/$M$13))),2)</f>
        <v>0</v>
      </c>
      <c r="P13" t="str">
        <f>IF(O13=0," ",IF(O13=Q13," ","Minimum"))</f>
        <v xml:space="preserve"> </v>
      </c>
      <c r="Q13" s="67">
        <f>ROUND(IF(SUM('Enrollment Input'!$E$18-'Exceptional Child Calc'!$H$25)+SUM('Enrollment Input'!$E$19-'Exceptional Child Calc'!$H$26)&lt;300,0,($J$13/$M$13)),2)</f>
        <v>0</v>
      </c>
      <c r="S13" s="3"/>
      <c r="U13" s="8" t="s">
        <v>40</v>
      </c>
      <c r="X13" s="62" t="str">
        <f>IF(AB13=0," ",IF($AB$16&gt;300," ",'Enrollment Input'!E19))</f>
        <v xml:space="preserve"> </v>
      </c>
      <c r="Y13" s="65" t="s">
        <v>75</v>
      </c>
      <c r="Z13" s="62" t="str">
        <f>IF(AB13=0," ",'Exceptional Child Calc'!H26)</f>
        <v xml:space="preserve"> </v>
      </c>
      <c r="AA13" s="22" t="s">
        <v>14</v>
      </c>
      <c r="AB13" s="99">
        <f>IF('Enrollment Input'!E19=0,0,IF(SUM('Enrollment Input'!E18-'Exceptional Child Calc'!H25)+SUM('Enrollment Input'!E19-'Exceptional Child Calc'!H26)&gt;299.99,SUM('Enrollment Input'!E19-'Exceptional Child Calc'!H26),0))</f>
        <v>0</v>
      </c>
      <c r="AC13" s="99"/>
      <c r="AD13" s="13" t="s">
        <v>42</v>
      </c>
      <c r="AE13" s="9">
        <f>IF(SUM('Enrollment Input'!$E$18-'Exceptional Child Calc'!$H$25)+SUM('Enrollment Input'!$E$19-'Exceptional Child Calc'!$H$26)&gt;299.99,23,0)</f>
        <v>0</v>
      </c>
      <c r="AF13" s="22" t="s">
        <v>14</v>
      </c>
      <c r="AG13" s="62">
        <f>ROUND(IF(SUM('Enrollment Input'!$E$18-'Exceptional Child Calc'!$H$25)+SUM('Enrollment Input'!$E$19-'Exceptional Child Calc'!$H$26)&lt;300,0,IF(AI11+AI13&lt;15,0,($AB$13/$AE$13))),2)</f>
        <v>0</v>
      </c>
      <c r="AH13" t="str">
        <f>IF(AG13=0," ",IF(AG13=AI13," ","Minimum"))</f>
        <v xml:space="preserve"> </v>
      </c>
      <c r="AI13" s="63">
        <f>ROUND(IF(SUM('Enrollment Input'!$E$18-'Exceptional Child Calc'!$H$25)+SUM('Enrollment Input'!$E$19-'Exceptional Child Calc'!$H$26)&lt;300,0,(AB13/AE13)),2)</f>
        <v>0</v>
      </c>
      <c r="AJ13" s="66"/>
      <c r="AK13" s="66"/>
      <c r="AL13" s="66"/>
      <c r="AM13" s="66"/>
      <c r="AN13" s="66"/>
      <c r="AO13" s="66"/>
      <c r="AP13" s="66"/>
    </row>
    <row r="14" spans="1:42" ht="17.25" customHeight="1" x14ac:dyDescent="0.2">
      <c r="B14" s="7" t="s">
        <v>47</v>
      </c>
      <c r="F14" s="22"/>
      <c r="G14" s="65"/>
      <c r="H14" s="22"/>
      <c r="I14" s="22"/>
      <c r="J14" s="22"/>
      <c r="K14" s="22"/>
      <c r="M14" s="12"/>
      <c r="N14" s="11"/>
      <c r="O14" s="22" t="str">
        <f>IF(P14="Minimum",15," ")</f>
        <v xml:space="preserve"> </v>
      </c>
      <c r="P14" t="str">
        <f>IF(Q11+Q13=0," ",IF(Q11+Q13&lt;15,"Minimum"," "))</f>
        <v xml:space="preserve"> </v>
      </c>
      <c r="Q14" s="67"/>
      <c r="S14" s="3"/>
      <c r="T14" s="7" t="s">
        <v>47</v>
      </c>
      <c r="X14" s="21"/>
      <c r="Y14" s="21"/>
      <c r="Z14" s="21"/>
      <c r="AA14" s="21"/>
      <c r="AB14" s="21"/>
      <c r="AC14" s="21"/>
      <c r="AF14" s="21"/>
      <c r="AG14" s="22" t="str">
        <f>IF(AH14="Minimum",15," ")</f>
        <v xml:space="preserve"> </v>
      </c>
      <c r="AH14" t="str">
        <f>IF(AI11+AI13=0," ",IF(AI11+AI13&lt;15,"Minimum"," "))</f>
        <v xml:space="preserve"> </v>
      </c>
      <c r="AJ14" s="66"/>
      <c r="AK14" s="66"/>
      <c r="AL14" s="66"/>
      <c r="AM14" s="66"/>
      <c r="AN14" s="66"/>
      <c r="AO14" s="66"/>
      <c r="AP14" s="66"/>
    </row>
    <row r="15" spans="1:42" x14ac:dyDescent="0.2">
      <c r="B15" s="6" t="s">
        <v>78</v>
      </c>
      <c r="F15" s="21"/>
      <c r="G15" s="21"/>
      <c r="H15" s="21"/>
      <c r="I15" s="21"/>
      <c r="J15" s="21"/>
      <c r="K15" s="21"/>
      <c r="Q15" s="67"/>
      <c r="S15" s="3"/>
      <c r="T15" s="6" t="s">
        <v>78</v>
      </c>
      <c r="X15" s="21"/>
      <c r="Y15" s="21"/>
      <c r="Z15" s="21"/>
      <c r="AA15" s="21"/>
      <c r="AB15" s="21"/>
      <c r="AC15" s="21"/>
      <c r="AF15" s="21"/>
      <c r="AG15" s="21"/>
      <c r="AJ15" s="66"/>
      <c r="AK15" s="66"/>
      <c r="AL15" s="66"/>
      <c r="AM15" s="66"/>
      <c r="AN15" s="66"/>
      <c r="AO15" s="66"/>
      <c r="AP15" s="66"/>
    </row>
    <row r="16" spans="1:42" ht="15.75" x14ac:dyDescent="0.25">
      <c r="C16" s="8" t="s">
        <v>41</v>
      </c>
      <c r="F16" s="62" t="str">
        <f>IF(J16=0," ",IF(J16&lt;300,SUM('Enrollment Input'!E18+'Enrollment Input'!E19)," "))</f>
        <v xml:space="preserve"> </v>
      </c>
      <c r="G16" s="65" t="s">
        <v>75</v>
      </c>
      <c r="H16" s="62" t="str">
        <f>IF(J16=0," ",'Exceptional Child Calc'!H22)</f>
        <v xml:space="preserve"> </v>
      </c>
      <c r="I16" s="22" t="s">
        <v>14</v>
      </c>
      <c r="J16" s="99">
        <f>IF('Enrollment Input'!E20=0,0,IF(SUM('Enrollment Input'!E18-'Exceptional Child Calc'!H25)+SUM('Enrollment Input'!E19-'Exceptional Child Calc'!H26)&lt;300,IF(P7="ADD to 1-6",SUM('Enrollment Input'!E18-'Exceptional Child Calc'!H25)+SUM('Enrollment Input'!E19-'Exceptional Child Calc'!H26)+'Enrollment Input'!E15,SUM('Enrollment Input'!E18-'Exceptional Child Calc'!H25)+SUM('Enrollment Input'!E19-'Exceptional Child Calc'!H26)),0))</f>
        <v>0</v>
      </c>
      <c r="K16" s="99"/>
      <c r="L16" s="13" t="s">
        <v>42</v>
      </c>
      <c r="M16" s="9">
        <f>IF(J16=0,0,LOOKUP(J16,criteria!$M$3:$M$11,criteria!$N$3:$N$11))</f>
        <v>0</v>
      </c>
      <c r="N16" s="11" t="s">
        <v>14</v>
      </c>
      <c r="O16" s="62">
        <f>IF(Q16=0,0,IF(Q16&lt;LOOKUP(J16,criteria!$M$3:$M$10,criteria!$O$3:$O$10),LOOKUP(J16,criteria!$M$3:$M$10,criteria!$O$3:$O$10),Q16))</f>
        <v>0</v>
      </c>
      <c r="P16" t="str">
        <f>IF(O16=0," ",IF(O16=Q16," ","Minimum"))</f>
        <v xml:space="preserve"> </v>
      </c>
      <c r="Q16" s="67">
        <f>ROUND(IF('Enrollment Input'!E20=0,0,IF(SUM('Enrollment Input'!$E$18-'Exceptional Child Calc'!$H$25)+SUM('Enrollment Input'!$E$19-'Exceptional Child Calc'!$H$26)&gt;299.99,0,(J16/M16))),2)</f>
        <v>0</v>
      </c>
      <c r="S16" s="3"/>
      <c r="U16" s="8" t="s">
        <v>41</v>
      </c>
      <c r="X16" s="62" t="str">
        <f>IF(AB16=0," ",IF(AB16&lt;300,SUM('Enrollment Input'!E18+'Enrollment Input'!E19)," "))</f>
        <v xml:space="preserve"> </v>
      </c>
      <c r="Y16" s="65" t="s">
        <v>75</v>
      </c>
      <c r="Z16" s="62" t="str">
        <f>IF(AB16=0," ",'Exceptional Child Calc'!H22)</f>
        <v xml:space="preserve"> </v>
      </c>
      <c r="AA16" s="22" t="s">
        <v>14</v>
      </c>
      <c r="AB16" s="99">
        <f>IF('Enrollment Input'!E20=0,0,IF(SUM('Enrollment Input'!E18-'Exceptional Child Calc'!H25)+SUM('Enrollment Input'!E19-'Exceptional Child Calc'!H26)&lt;300,IF(AH7="ADD to 1-6",SUM('Enrollment Input'!E18-'Exceptional Child Calc'!H25)+SUM('Enrollment Input'!E19-'Exceptional Child Calc'!H26)+'Enrollment Input'!E15,SUM('Enrollment Input'!E18-'Exceptional Child Calc'!H25)+SUM('Enrollment Input'!E19-'Exceptional Child Calc'!H26)),0))</f>
        <v>0</v>
      </c>
      <c r="AC16" s="99"/>
      <c r="AD16" s="13" t="s">
        <v>42</v>
      </c>
      <c r="AE16" s="9">
        <f>IF(AB16=0,0,LOOKUP(AB16,criteria!$M$3:$M$11,criteria!$N$3:$N$11))</f>
        <v>0</v>
      </c>
      <c r="AF16" s="22" t="s">
        <v>14</v>
      </c>
      <c r="AG16" s="62">
        <f>IF(AI16=0,0,IF(AI16&lt;LOOKUP(AB16,criteria!$M$3:$M$10,criteria!$O$3:$O$10),LOOKUP(AB16,criteria!$M$3:$M$10,criteria!$O$3:$O$10),AI16))</f>
        <v>0</v>
      </c>
      <c r="AH16" t="str">
        <f>IF(AG16=0," ",IF(AG16=AI16," ","Minimum"))</f>
        <v xml:space="preserve"> </v>
      </c>
      <c r="AI16" s="63">
        <f>ROUND(IF('Enrollment Input'!E20=0,0,IF(SUM('Enrollment Input'!$E$18-'Exceptional Child Calc'!$H$25)+SUM('Enrollment Input'!$E$19-'Exceptional Child Calc'!$H$26)&gt;299.99,0,(AB16/AE16))),2)</f>
        <v>0</v>
      </c>
      <c r="AJ16" s="66"/>
      <c r="AK16" s="66"/>
      <c r="AL16" s="66"/>
      <c r="AM16" s="66"/>
      <c r="AN16" s="66"/>
      <c r="AO16" s="66"/>
      <c r="AP16" s="66"/>
    </row>
    <row r="17" spans="1:42" ht="6" customHeight="1" x14ac:dyDescent="0.2">
      <c r="F17" s="21"/>
      <c r="G17" s="21"/>
      <c r="H17" s="21"/>
      <c r="I17" s="21"/>
      <c r="J17" s="21"/>
      <c r="K17" s="21"/>
      <c r="O17" s="21"/>
      <c r="Q17" s="67"/>
      <c r="S17" s="3"/>
      <c r="X17" s="21"/>
      <c r="Y17" s="21"/>
      <c r="Z17" s="21"/>
      <c r="AA17" s="21"/>
      <c r="AB17" s="21"/>
      <c r="AC17" s="21"/>
      <c r="AF17" s="21"/>
      <c r="AG17" s="21"/>
      <c r="AJ17" s="66"/>
      <c r="AK17" s="66"/>
      <c r="AL17" s="66"/>
      <c r="AM17" s="66"/>
      <c r="AN17" s="66"/>
      <c r="AO17" s="66"/>
      <c r="AP17" s="66"/>
    </row>
    <row r="18" spans="1:42" ht="15.75" x14ac:dyDescent="0.25">
      <c r="B18" s="7" t="s">
        <v>48</v>
      </c>
      <c r="F18" s="62" t="str">
        <f>IF(J18=0," ",'Enrollment Input'!E21)</f>
        <v xml:space="preserve"> </v>
      </c>
      <c r="G18" s="65" t="s">
        <v>75</v>
      </c>
      <c r="H18" s="62" t="str">
        <f>IF('Exceptional Child Calc'!$H$43=0," ",'Exceptional Child Calc'!$H$43)</f>
        <v xml:space="preserve"> </v>
      </c>
      <c r="I18" s="22" t="s">
        <v>14</v>
      </c>
      <c r="J18" s="99">
        <f>IF('Enrollment Input'!E21=0,0,SUM('Enrollment Input'!E21-'Exceptional Child Calc'!H43))</f>
        <v>0</v>
      </c>
      <c r="K18" s="99"/>
      <c r="L18" s="13" t="s">
        <v>42</v>
      </c>
      <c r="M18" s="9">
        <f>IF('Enrollment Input'!E21=0,0,IF(J18&gt;99.99,LOOKUP(J18,criteria!Q3:Q10,criteria!R3:R10),12))</f>
        <v>0</v>
      </c>
      <c r="N18" s="11" t="s">
        <v>14</v>
      </c>
      <c r="O18" s="62">
        <f>ROUND(IF(J18=0,0,IF(J18&lt;99.99,IF(M18=0,8,(J18/M18)),IF(Q18&lt;LOOKUP(J18,criteria!$Q$3:$Q$10,criteria!$S$3:$S$10),LOOKUP(J18,criteria!$Q$3:$Q$10,criteria!$S$3:$S$10),Q18))),2)</f>
        <v>0</v>
      </c>
      <c r="P18" t="str">
        <f>IF(O18=0," ",IF(O18=Q18," ","Minimum"))</f>
        <v xml:space="preserve"> </v>
      </c>
      <c r="Q18" s="67">
        <f>ROUND(IF(M18=0,0,(J18/M18)),2)</f>
        <v>0</v>
      </c>
      <c r="S18" s="3"/>
      <c r="T18" s="7" t="s">
        <v>48</v>
      </c>
      <c r="X18" s="62">
        <f>IF(AB18=0,0,'Enrollment Input'!E21)</f>
        <v>0</v>
      </c>
      <c r="Y18" s="65" t="s">
        <v>75</v>
      </c>
      <c r="Z18" s="62"/>
      <c r="AA18" s="22" t="s">
        <v>14</v>
      </c>
      <c r="AB18" s="99">
        <f>IF('Enrollment Input'!$E$21=0,0,'Enrollment Input'!$E$21)</f>
        <v>0</v>
      </c>
      <c r="AC18" s="99"/>
      <c r="AD18" s="13" t="s">
        <v>42</v>
      </c>
      <c r="AE18" s="9">
        <f>IF('Enrollment Input'!E21=0,0,IF(AB18&gt;99.99,LOOKUP(AB18,criteria!Q3:Q10,criteria!R3:R10),12))</f>
        <v>0</v>
      </c>
      <c r="AF18" s="22" t="s">
        <v>14</v>
      </c>
      <c r="AG18" s="62">
        <f>ROUND(IF(AB18=0,0,IF(AB18&lt;99.99,IF(AE18=0,8,(AB18/AE18)),IF(AI18&lt;LOOKUP(AB18,criteria!$Q$3:$Q$10,criteria!$S$3:$S$10),LOOKUP(AB18,criteria!$Q$3:$Q$10,criteria!$S$3:$S$10),AI18))),2)</f>
        <v>0</v>
      </c>
      <c r="AH18" t="str">
        <f>IF(AG18=0," ",IF(AG18=AI18," ","Minimum"))</f>
        <v xml:space="preserve"> </v>
      </c>
      <c r="AI18" s="63">
        <f>ROUND(IF(AE18=0,0,(AB18/AE18)),2)</f>
        <v>0</v>
      </c>
      <c r="AJ18" s="66"/>
      <c r="AK18" s="66"/>
      <c r="AL18" s="66"/>
      <c r="AM18" s="66"/>
      <c r="AN18" s="66"/>
      <c r="AO18" s="66"/>
      <c r="AP18" s="66"/>
    </row>
    <row r="19" spans="1:42" ht="9" customHeight="1" x14ac:dyDescent="0.2">
      <c r="B19" s="7"/>
      <c r="F19" s="22"/>
      <c r="G19" s="65"/>
      <c r="H19" s="22"/>
      <c r="I19" s="22"/>
      <c r="J19" s="22"/>
      <c r="K19" s="22"/>
      <c r="M19" s="12"/>
      <c r="N19" s="11"/>
      <c r="O19" s="22"/>
      <c r="Q19" s="67"/>
      <c r="S19" s="3"/>
      <c r="T19" s="7"/>
      <c r="X19" s="21"/>
      <c r="Y19" s="21"/>
      <c r="Z19" s="21"/>
      <c r="AA19" s="21"/>
      <c r="AB19" s="22"/>
      <c r="AC19" s="22"/>
      <c r="AE19" s="12"/>
      <c r="AF19" s="22"/>
      <c r="AG19" s="22"/>
      <c r="AJ19" s="66"/>
      <c r="AK19" s="66"/>
      <c r="AL19" s="66"/>
      <c r="AM19" s="66"/>
      <c r="AN19" s="66"/>
      <c r="AO19" s="66"/>
      <c r="AP19" s="66"/>
    </row>
    <row r="20" spans="1:42" ht="15" x14ac:dyDescent="0.2">
      <c r="A20" s="5" t="s">
        <v>59</v>
      </c>
      <c r="F20" s="21"/>
      <c r="G20" s="21"/>
      <c r="H20" s="21"/>
      <c r="I20" s="21"/>
      <c r="J20" s="21"/>
      <c r="K20" s="21"/>
      <c r="O20" s="21"/>
      <c r="Q20" s="67"/>
      <c r="S20" s="5" t="s">
        <v>59</v>
      </c>
      <c r="X20" s="21"/>
      <c r="Y20" s="21"/>
      <c r="Z20" s="21"/>
      <c r="AA20" s="21"/>
      <c r="AB20" s="21"/>
      <c r="AC20" s="21"/>
      <c r="AF20" s="21"/>
      <c r="AG20" s="21"/>
      <c r="AJ20" s="66"/>
      <c r="AK20" s="66"/>
      <c r="AL20" s="66"/>
      <c r="AM20" s="66"/>
      <c r="AN20" s="66"/>
      <c r="AO20" s="66"/>
      <c r="AP20" s="66"/>
    </row>
    <row r="21" spans="1:42" ht="3.75" customHeight="1" x14ac:dyDescent="0.2">
      <c r="F21" s="21"/>
      <c r="G21" s="21"/>
      <c r="H21" s="21"/>
      <c r="I21" s="21"/>
      <c r="J21" s="21"/>
      <c r="K21" s="21"/>
      <c r="O21" s="21"/>
      <c r="Q21" s="67"/>
      <c r="S21" s="3"/>
      <c r="X21" s="21"/>
      <c r="Y21" s="21"/>
      <c r="Z21" s="21"/>
      <c r="AA21" s="21"/>
      <c r="AB21" s="21"/>
      <c r="AC21" s="21"/>
      <c r="AF21" s="21"/>
      <c r="AG21" s="21"/>
      <c r="AJ21" s="66"/>
      <c r="AK21" s="66"/>
      <c r="AL21" s="66"/>
      <c r="AM21" s="66"/>
      <c r="AN21" s="66"/>
      <c r="AO21" s="66"/>
      <c r="AP21" s="66"/>
    </row>
    <row r="22" spans="1:42" x14ac:dyDescent="0.2">
      <c r="B22" t="s">
        <v>72</v>
      </c>
      <c r="F22" s="21"/>
      <c r="G22" s="21"/>
      <c r="H22" s="21"/>
      <c r="I22" s="21"/>
      <c r="J22" s="99" t="str">
        <f>IF('Exceptional Child Calc'!H55=0," ",'Exceptional Child Calc'!H55)</f>
        <v xml:space="preserve"> </v>
      </c>
      <c r="K22" s="99"/>
      <c r="O22" s="21"/>
      <c r="Q22" s="67"/>
      <c r="S22" s="3"/>
      <c r="T22" t="s">
        <v>72</v>
      </c>
      <c r="X22" s="21"/>
      <c r="Y22" s="21"/>
      <c r="Z22" s="21"/>
      <c r="AA22" s="21"/>
      <c r="AB22" s="99" t="str">
        <f>IF('Exceptional Child Calc'!H55=0," ",'Exceptional Child Calc'!H55)</f>
        <v xml:space="preserve"> </v>
      </c>
      <c r="AC22" s="99"/>
      <c r="AF22" s="21"/>
      <c r="AG22" s="21"/>
      <c r="AJ22" s="66"/>
      <c r="AK22" s="66"/>
      <c r="AL22" s="66"/>
      <c r="AM22" s="66"/>
      <c r="AN22" s="66"/>
      <c r="AO22" s="66"/>
      <c r="AP22" s="66"/>
    </row>
    <row r="23" spans="1:42" ht="9" customHeight="1" x14ac:dyDescent="0.2">
      <c r="F23" s="21"/>
      <c r="G23" s="21"/>
      <c r="H23" s="21"/>
      <c r="I23" s="21"/>
      <c r="J23" s="21"/>
      <c r="K23" s="21"/>
      <c r="O23" s="21"/>
      <c r="Q23" s="67"/>
      <c r="S23" s="3"/>
      <c r="X23" s="21"/>
      <c r="Y23" s="21"/>
      <c r="Z23" s="21"/>
      <c r="AA23" s="21"/>
      <c r="AB23" s="21"/>
      <c r="AC23" s="21"/>
      <c r="AF23" s="21"/>
      <c r="AG23" s="21"/>
      <c r="AJ23" s="66"/>
      <c r="AK23" s="66"/>
      <c r="AL23" s="66"/>
      <c r="AM23" s="66"/>
      <c r="AN23" s="66"/>
      <c r="AO23" s="66"/>
      <c r="AP23" s="66"/>
    </row>
    <row r="24" spans="1:42" x14ac:dyDescent="0.2">
      <c r="B24" t="s">
        <v>73</v>
      </c>
      <c r="F24" s="21"/>
      <c r="G24" s="21"/>
      <c r="H24" s="21"/>
      <c r="I24" s="21"/>
      <c r="J24" s="99" t="str">
        <f>IF('Exceptional Child Calc'!H22=0," ",'Exceptional Child Calc'!H22)</f>
        <v xml:space="preserve"> </v>
      </c>
      <c r="K24" s="99"/>
      <c r="O24" s="21"/>
      <c r="Q24" s="67"/>
      <c r="S24" s="3"/>
      <c r="T24" t="s">
        <v>73</v>
      </c>
      <c r="X24" s="21"/>
      <c r="Y24" s="21"/>
      <c r="Z24" s="21"/>
      <c r="AA24" s="21"/>
      <c r="AB24" s="99" t="str">
        <f>IF('Exceptional Child Calc'!H22=0," ",'Exceptional Child Calc'!H22)</f>
        <v xml:space="preserve"> </v>
      </c>
      <c r="AC24" s="99"/>
      <c r="AF24" s="21"/>
      <c r="AG24" s="21"/>
      <c r="AJ24" s="66"/>
      <c r="AK24" s="66"/>
      <c r="AL24" s="66"/>
      <c r="AM24" s="66"/>
      <c r="AN24" s="66"/>
      <c r="AO24" s="66"/>
      <c r="AP24" s="66"/>
    </row>
    <row r="25" spans="1:42" ht="9" customHeight="1" x14ac:dyDescent="0.2">
      <c r="F25" s="21"/>
      <c r="G25" s="21"/>
      <c r="H25" s="21"/>
      <c r="I25" s="21"/>
      <c r="J25" s="21"/>
      <c r="K25" s="21"/>
      <c r="O25" s="21"/>
      <c r="Q25" s="67"/>
      <c r="S25" s="3"/>
      <c r="X25" s="21"/>
      <c r="Y25" s="21"/>
      <c r="Z25" s="21"/>
      <c r="AA25" s="21"/>
      <c r="AB25" s="21"/>
      <c r="AC25" s="21"/>
      <c r="AF25" s="21"/>
      <c r="AG25" s="21"/>
      <c r="AJ25" s="66"/>
      <c r="AK25" s="66"/>
      <c r="AL25" s="66"/>
      <c r="AM25" s="66"/>
      <c r="AN25" s="66"/>
      <c r="AO25" s="66"/>
      <c r="AP25" s="66"/>
    </row>
    <row r="26" spans="1:42" x14ac:dyDescent="0.2">
      <c r="B26" t="s">
        <v>74</v>
      </c>
      <c r="F26" s="21"/>
      <c r="G26" s="21"/>
      <c r="H26" s="21"/>
      <c r="I26" s="21"/>
      <c r="J26" s="99" t="str">
        <f>IF('Exceptional Child Calc'!$H$43=0," ",'Exceptional Child Calc'!$H$43)</f>
        <v xml:space="preserve"> </v>
      </c>
      <c r="K26" s="99"/>
      <c r="O26" s="21"/>
      <c r="Q26" s="67"/>
      <c r="S26" s="3"/>
      <c r="T26" t="s">
        <v>74</v>
      </c>
      <c r="X26" s="21"/>
      <c r="Y26" s="21"/>
      <c r="Z26" s="21"/>
      <c r="AA26" s="21"/>
      <c r="AB26" s="99">
        <f>0</f>
        <v>0</v>
      </c>
      <c r="AC26" s="99"/>
      <c r="AF26" s="21"/>
      <c r="AG26" s="21"/>
      <c r="AJ26" s="66"/>
      <c r="AK26" s="66"/>
      <c r="AL26" s="66"/>
      <c r="AM26" s="66"/>
      <c r="AN26" s="66"/>
      <c r="AO26" s="66"/>
      <c r="AP26" s="66"/>
    </row>
    <row r="27" spans="1:42" ht="8.25" customHeight="1" x14ac:dyDescent="0.2">
      <c r="F27" s="21"/>
      <c r="G27" s="21"/>
      <c r="H27" s="21"/>
      <c r="I27" s="21"/>
      <c r="J27" s="21"/>
      <c r="K27" s="21"/>
      <c r="O27" s="21"/>
      <c r="Q27" s="67"/>
      <c r="S27" s="3"/>
      <c r="X27" s="21"/>
      <c r="Y27" s="21"/>
      <c r="Z27" s="21"/>
      <c r="AA27" s="21"/>
      <c r="AB27" s="21"/>
      <c r="AC27" s="21"/>
      <c r="AF27" s="21"/>
      <c r="AG27" s="21"/>
      <c r="AJ27" s="66"/>
      <c r="AK27" s="66"/>
      <c r="AL27" s="66"/>
      <c r="AM27" s="66"/>
      <c r="AN27" s="66"/>
      <c r="AO27" s="66"/>
      <c r="AP27" s="66"/>
    </row>
    <row r="28" spans="1:42" ht="6" customHeight="1" x14ac:dyDescent="0.2">
      <c r="F28" s="21"/>
      <c r="G28" s="21"/>
      <c r="H28" s="21"/>
      <c r="I28" s="21"/>
      <c r="J28" s="22"/>
      <c r="K28" s="22"/>
      <c r="O28" s="21"/>
      <c r="Q28" s="67"/>
      <c r="S28" s="3"/>
      <c r="X28" s="21"/>
      <c r="Y28" s="21"/>
      <c r="Z28" s="21"/>
      <c r="AA28" s="21"/>
      <c r="AB28" s="22"/>
      <c r="AC28" s="22"/>
      <c r="AF28" s="21"/>
      <c r="AG28" s="21"/>
      <c r="AJ28" s="66"/>
      <c r="AK28" s="66"/>
      <c r="AL28" s="66"/>
      <c r="AM28" s="66"/>
      <c r="AN28" s="66"/>
      <c r="AO28" s="66"/>
      <c r="AP28" s="66"/>
    </row>
    <row r="29" spans="1:42" ht="16.5" thickBot="1" x14ac:dyDescent="0.3">
      <c r="B29" s="1" t="s">
        <v>76</v>
      </c>
      <c r="F29" s="21"/>
      <c r="G29" s="21"/>
      <c r="H29" s="21"/>
      <c r="I29" s="21"/>
      <c r="J29" s="101">
        <f>SUM(J22:K27)</f>
        <v>0</v>
      </c>
      <c r="K29" s="101"/>
      <c r="L29" s="13" t="s">
        <v>42</v>
      </c>
      <c r="M29" s="9">
        <f>IF(SUM('Enrollment Input'!E15+'Enrollment Input'!E18+'Enrollment Input'!E19+'Enrollment Input'!E21)=0,0,IF(J29&gt;=14,LOOKUP(J29,criteria!$U$3:$U$10,criteria!$V$3:$V$10),0))</f>
        <v>0</v>
      </c>
      <c r="N29" s="11" t="s">
        <v>14</v>
      </c>
      <c r="O29" s="62">
        <f>IF(J29=0,0,IF(Q29&lt;LOOKUP(J29,criteria!$U$3:$U$10,criteria!$W$3:$W$10),LOOKUP(J29,criteria!$U$3:$U$10,criteria!$W$3:$W$10),Q29))</f>
        <v>0</v>
      </c>
      <c r="P29" t="str">
        <f>IF(O29=0," ",IF(O29=Q29," ","Minimum"))</f>
        <v xml:space="preserve"> </v>
      </c>
      <c r="Q29" s="67">
        <f>ROUND(IF(SUM('Enrollment Input'!E15+'Enrollment Input'!E18+'Enrollment Input'!E19+'Enrollment Input'!E21)=0,0,IF(M29=0,0,(J29/M29))),2)</f>
        <v>0</v>
      </c>
      <c r="S29" s="3"/>
      <c r="T29" s="1" t="s">
        <v>76</v>
      </c>
      <c r="X29" s="21"/>
      <c r="Y29" s="21"/>
      <c r="Z29" s="21"/>
      <c r="AA29" s="21"/>
      <c r="AB29" s="101">
        <f>SUM(AB22:AC27)</f>
        <v>0</v>
      </c>
      <c r="AC29" s="101"/>
      <c r="AD29" s="13" t="s">
        <v>42</v>
      </c>
      <c r="AE29" s="9">
        <f>IF(SUM('Enrollment Input'!E15+'Enrollment Input'!E18+'Enrollment Input'!E19+'Enrollment Input'!E21)=0,0,IF(AB29&gt;=14,LOOKUP(AB29,criteria!$U$3:$U$10,criteria!$V$3:$V$10),0))</f>
        <v>0</v>
      </c>
      <c r="AF29" s="22" t="s">
        <v>14</v>
      </c>
      <c r="AG29" s="62">
        <f>IF(AB29=0,0,IF(AI29&lt;LOOKUP(AB29,criteria!$U$3:$U$10,criteria!$W$3:$W$10),LOOKUP(AB29,criteria!$U$3:$U$10,criteria!$W$3:$W$10),AI29))</f>
        <v>0</v>
      </c>
      <c r="AH29" t="str">
        <f>IF(AG29=0," ",IF(AG29=AI29," ","Minimum"))</f>
        <v xml:space="preserve"> </v>
      </c>
      <c r="AI29" s="63">
        <f>ROUND(IF(SUM('Enrollment Input'!E15+'Enrollment Input'!E18+'Enrollment Input'!E19+'Enrollment Input'!E21)=0,0,IF(AE29=0,0,(AB29/AE29))),2)</f>
        <v>0</v>
      </c>
      <c r="AJ29" s="66"/>
      <c r="AK29" s="66"/>
      <c r="AL29" s="66"/>
      <c r="AM29" s="66"/>
      <c r="AN29" s="66"/>
      <c r="AO29" s="66"/>
      <c r="AP29" s="66"/>
    </row>
    <row r="30" spans="1:42" ht="21" customHeight="1" thickTop="1" x14ac:dyDescent="0.25">
      <c r="B30" s="23"/>
      <c r="C30" s="23"/>
      <c r="D30" s="23"/>
      <c r="E30" s="23"/>
      <c r="F30" s="23"/>
      <c r="G30" s="23"/>
      <c r="H30" s="23"/>
      <c r="J30" s="8"/>
      <c r="N30" s="11"/>
      <c r="O30" s="22"/>
      <c r="P30" s="1"/>
      <c r="Q30" s="67"/>
      <c r="S30" s="3"/>
      <c r="T30" s="1"/>
      <c r="AB30" s="22"/>
      <c r="AC30" s="22"/>
      <c r="AD30" s="13"/>
      <c r="AE30" s="12"/>
      <c r="AF30" s="22"/>
      <c r="AG30" s="22"/>
      <c r="AJ30" s="66"/>
      <c r="AK30" s="66"/>
      <c r="AL30" s="66"/>
      <c r="AM30" s="66"/>
      <c r="AN30" s="66"/>
      <c r="AO30" s="66"/>
      <c r="AP30" s="66"/>
    </row>
    <row r="31" spans="1:42" ht="19.5" customHeight="1" x14ac:dyDescent="0.25">
      <c r="A31" s="4" t="s">
        <v>85</v>
      </c>
      <c r="O31" s="21"/>
      <c r="Q31" s="67"/>
      <c r="S31" s="4" t="s">
        <v>85</v>
      </c>
      <c r="AF31" s="21"/>
      <c r="AG31" s="21"/>
      <c r="AJ31" s="66"/>
      <c r="AK31" s="66"/>
      <c r="AL31" s="66"/>
      <c r="AM31" s="66"/>
      <c r="AN31" s="66"/>
      <c r="AO31" s="66"/>
      <c r="AP31" s="66"/>
    </row>
    <row r="32" spans="1:42" ht="15.75" x14ac:dyDescent="0.25">
      <c r="B32" s="98" t="str">
        <f>IF('Enrollment Input'!E25=0," ","Alternative Secondary High School")</f>
        <v xml:space="preserve"> </v>
      </c>
      <c r="C32" s="98"/>
      <c r="D32" s="98"/>
      <c r="E32" s="98"/>
      <c r="F32" s="98"/>
      <c r="G32" s="98"/>
      <c r="J32" s="99">
        <f>'Enrollment Input'!E25</f>
        <v>0</v>
      </c>
      <c r="K32" s="99"/>
      <c r="L32" s="13" t="s">
        <v>42</v>
      </c>
      <c r="M32" s="9">
        <f>IF(J32=0,0,IF(Q32&lt;1,IF(M18&lt;12,12,M18),12))</f>
        <v>0</v>
      </c>
      <c r="N32" s="11" t="s">
        <v>14</v>
      </c>
      <c r="O32" s="62">
        <f>ROUND(IF(J32=0,0,J32/M32),2)</f>
        <v>0</v>
      </c>
      <c r="P32" s="5"/>
      <c r="Q32" s="67">
        <f>ROUND(IF(J32=0,0,J32/12),2)</f>
        <v>0</v>
      </c>
      <c r="R32" s="63"/>
      <c r="S32" s="3"/>
      <c r="T32" s="61" t="str">
        <f>IF('Enrollment Input'!E25=0," ","Alternative Secondary High School")</f>
        <v xml:space="preserve"> </v>
      </c>
      <c r="U32" s="61"/>
      <c r="V32" s="61"/>
      <c r="W32" s="61"/>
      <c r="X32" s="61"/>
      <c r="Y32" s="61"/>
      <c r="AB32" s="99">
        <f>'Enrollment Input'!E25</f>
        <v>0</v>
      </c>
      <c r="AC32" s="99"/>
      <c r="AD32" s="13" t="s">
        <v>42</v>
      </c>
      <c r="AE32" s="9">
        <f>IF(AB32=0,0,IF(AI32&lt;1,IF(AE18&lt;12,12,AE18),12))</f>
        <v>0</v>
      </c>
      <c r="AF32" s="22" t="s">
        <v>14</v>
      </c>
      <c r="AG32" s="62">
        <f>ROUND(IF(AB32=0,0,AB32/AE32),2)</f>
        <v>0</v>
      </c>
      <c r="AH32" s="5"/>
      <c r="AI32" s="63">
        <f>ROUND(IF(AB32=0,0,AB32/12),2)</f>
        <v>0</v>
      </c>
      <c r="AJ32" s="66"/>
      <c r="AK32" s="66"/>
      <c r="AL32" s="66"/>
      <c r="AM32" s="66"/>
      <c r="AN32" s="66"/>
      <c r="AO32" s="66"/>
      <c r="AP32" s="66"/>
    </row>
    <row r="33" spans="1:42" ht="11.25" customHeight="1" x14ac:dyDescent="0.2">
      <c r="J33" s="21"/>
      <c r="K33" s="21"/>
      <c r="O33" s="21"/>
      <c r="Q33" s="67"/>
      <c r="S33" s="3"/>
      <c r="AB33" s="21"/>
      <c r="AC33" s="21"/>
      <c r="AF33" s="21"/>
      <c r="AG33" s="21"/>
      <c r="AJ33" s="66"/>
      <c r="AK33" s="66"/>
      <c r="AL33" s="66"/>
      <c r="AM33" s="66"/>
      <c r="AN33" s="66"/>
      <c r="AO33" s="66"/>
      <c r="AP33" s="66"/>
    </row>
    <row r="34" spans="1:42" ht="11.25" customHeight="1" x14ac:dyDescent="0.25">
      <c r="B34" s="98" t="str">
        <f>IF('Enrollment Input'!E27=0," ","Summer Alternative Secondary High School")</f>
        <v xml:space="preserve"> </v>
      </c>
      <c r="C34" s="98"/>
      <c r="D34" s="98"/>
      <c r="E34" s="98"/>
      <c r="F34" s="98"/>
      <c r="G34" s="98"/>
      <c r="J34" s="99">
        <f>'Enrollment Input'!E27</f>
        <v>0</v>
      </c>
      <c r="K34" s="99"/>
      <c r="L34" s="13" t="s">
        <v>42</v>
      </c>
      <c r="M34" s="9">
        <f>IF(J34=0,0,40)</f>
        <v>0</v>
      </c>
      <c r="N34" s="11" t="s">
        <v>14</v>
      </c>
      <c r="O34" s="62">
        <f>ROUND(IF(J34=0,0,J34/M34),2)</f>
        <v>0</v>
      </c>
      <c r="P34" s="5"/>
      <c r="Q34" s="67"/>
      <c r="S34" s="3"/>
      <c r="T34" s="98" t="str">
        <f>IF('Enrollment Input'!E27=0," ","Summer Alternative Secondary High School")</f>
        <v xml:space="preserve"> </v>
      </c>
      <c r="U34" s="98"/>
      <c r="V34" s="98"/>
      <c r="W34" s="98"/>
      <c r="X34" s="98"/>
      <c r="Y34" s="98"/>
      <c r="AB34" s="99">
        <f>'Enrollment Input'!E27</f>
        <v>0</v>
      </c>
      <c r="AC34" s="99"/>
      <c r="AD34" s="13" t="s">
        <v>42</v>
      </c>
      <c r="AE34" s="9">
        <f>IF(AB34=0,0,40)</f>
        <v>0</v>
      </c>
      <c r="AF34" s="22" t="s">
        <v>14</v>
      </c>
      <c r="AG34" s="62">
        <f>ROUND(IF(AB34=0,0,AB34/AE34),2)</f>
        <v>0</v>
      </c>
      <c r="AH34" s="5"/>
      <c r="AJ34" s="66"/>
      <c r="AK34" s="66"/>
      <c r="AL34" s="66"/>
      <c r="AM34" s="66"/>
      <c r="AN34" s="66"/>
      <c r="AO34" s="66"/>
      <c r="AP34" s="66"/>
    </row>
    <row r="35" spans="1:42" ht="13.5" customHeight="1" x14ac:dyDescent="0.25">
      <c r="J35" s="12"/>
      <c r="K35" s="12"/>
      <c r="L35" s="13"/>
      <c r="M35" s="12"/>
      <c r="N35" s="11"/>
      <c r="O35" s="12"/>
      <c r="P35" s="1"/>
      <c r="Q35" s="67"/>
      <c r="S35" s="3"/>
      <c r="AB35" s="12"/>
      <c r="AC35" s="12"/>
      <c r="AD35" s="13"/>
      <c r="AE35" s="12"/>
      <c r="AF35" s="22"/>
      <c r="AG35" s="22"/>
      <c r="AH35" s="1"/>
      <c r="AJ35" s="66"/>
      <c r="AK35" s="66"/>
      <c r="AL35" s="66"/>
      <c r="AM35" s="66"/>
      <c r="AN35" s="66"/>
      <c r="AO35" s="66"/>
      <c r="AP35" s="66"/>
    </row>
    <row r="36" spans="1:42" ht="18.75" customHeight="1" thickBot="1" x14ac:dyDescent="0.25">
      <c r="A36" s="5"/>
      <c r="B36" s="8" t="s">
        <v>105</v>
      </c>
      <c r="C36" s="1"/>
      <c r="D36" s="1"/>
      <c r="E36" s="1"/>
      <c r="F36" s="1"/>
      <c r="G36" s="1"/>
      <c r="H36" s="1"/>
      <c r="I36" s="1"/>
      <c r="J36" s="1"/>
      <c r="K36" s="1"/>
      <c r="M36" s="12" t="s">
        <v>14</v>
      </c>
      <c r="N36" s="105">
        <f>ROUND(IF(SUM(O7:O34)=0,0,SUM(O7:O34)),2)</f>
        <v>0</v>
      </c>
      <c r="O36" s="105"/>
      <c r="Q36" s="67"/>
      <c r="S36" s="5"/>
      <c r="T36" s="8" t="s">
        <v>105</v>
      </c>
      <c r="U36" s="1"/>
      <c r="V36" s="1"/>
      <c r="W36" s="1"/>
      <c r="X36" s="1"/>
      <c r="Y36" s="1"/>
      <c r="Z36" s="1"/>
      <c r="AA36" s="1"/>
      <c r="AB36" s="1"/>
      <c r="AC36" s="1"/>
      <c r="AE36" s="12" t="s">
        <v>14</v>
      </c>
      <c r="AF36" s="105">
        <f>ROUND(IF(SUM(AG7:AG34)=0,0,SUM(AG7:AG34)),2)</f>
        <v>0</v>
      </c>
      <c r="AG36" s="105"/>
      <c r="AJ36" s="66"/>
      <c r="AK36" s="66"/>
      <c r="AL36" s="66"/>
      <c r="AM36" s="66"/>
      <c r="AN36" s="66"/>
      <c r="AO36" s="66"/>
      <c r="AP36" s="66"/>
    </row>
    <row r="37" spans="1:42" ht="13.5" thickTop="1" x14ac:dyDescent="0.2">
      <c r="M37" s="103" t="str">
        <f>IF(N36=0," ",IF(N36&lt;AF36,"Do Not Use this Calculation","Use this Calculation"))</f>
        <v xml:space="preserve"> </v>
      </c>
      <c r="N37" s="103"/>
      <c r="O37" s="103"/>
      <c r="P37" s="103"/>
      <c r="Q37" s="67"/>
      <c r="S37" s="3"/>
      <c r="AE37" s="103" t="str">
        <f>IF(AF36=0," ",IF(AF36&lt;N36,"Do Not Use this Calculation","Use this Calculation"))</f>
        <v xml:space="preserve"> </v>
      </c>
      <c r="AF37" s="104"/>
      <c r="AG37" s="104"/>
      <c r="AH37" s="104"/>
    </row>
    <row r="38" spans="1:42" x14ac:dyDescent="0.2">
      <c r="Q38" s="63"/>
    </row>
    <row r="39" spans="1:42" hidden="1" x14ac:dyDescent="0.2">
      <c r="Q39" s="63"/>
    </row>
    <row r="40" spans="1:42" hidden="1" x14ac:dyDescent="0.2">
      <c r="Q40" s="63"/>
    </row>
    <row r="41" spans="1:42" hidden="1" x14ac:dyDescent="0.2">
      <c r="Q41" s="66"/>
    </row>
    <row r="42" spans="1:42" hidden="1" x14ac:dyDescent="0.2">
      <c r="Q42" s="66"/>
    </row>
    <row r="43" spans="1:42" hidden="1" x14ac:dyDescent="0.2">
      <c r="Q43" s="66"/>
    </row>
    <row r="44" spans="1:42" hidden="1" x14ac:dyDescent="0.2">
      <c r="Q44" s="66"/>
    </row>
  </sheetData>
  <sheetProtection algorithmName="SHA-512" hashValue="MAPYuDwu+pXZGIol7eCq/pdjKKKatOjph60L1VTQhITAVUxHtdLnDll6LqYy2+dmp7M2oM15XARAj8XrBebimA==" saltValue="HgC80qcF/78+V3ivR6P/jQ==" spinCount="100000" sheet="1" objects="1" scenarios="1"/>
  <mergeCells count="37">
    <mergeCell ref="M37:P37"/>
    <mergeCell ref="AB32:AC32"/>
    <mergeCell ref="T34:Y34"/>
    <mergeCell ref="AB34:AC34"/>
    <mergeCell ref="AF36:AG36"/>
    <mergeCell ref="N36:O36"/>
    <mergeCell ref="AB22:AC22"/>
    <mergeCell ref="AB24:AC24"/>
    <mergeCell ref="AB26:AC26"/>
    <mergeCell ref="AB29:AC29"/>
    <mergeCell ref="AE37:AH37"/>
    <mergeCell ref="A1:O1"/>
    <mergeCell ref="S1:AG1"/>
    <mergeCell ref="S2:AG2"/>
    <mergeCell ref="S3:AG3"/>
    <mergeCell ref="J18:K18"/>
    <mergeCell ref="AB5:AC5"/>
    <mergeCell ref="AB7:AC7"/>
    <mergeCell ref="AB11:AC11"/>
    <mergeCell ref="AB13:AC13"/>
    <mergeCell ref="AB16:AC16"/>
    <mergeCell ref="AB18:AC18"/>
    <mergeCell ref="B34:G34"/>
    <mergeCell ref="J34:K34"/>
    <mergeCell ref="B32:G32"/>
    <mergeCell ref="A2:O2"/>
    <mergeCell ref="A3:O3"/>
    <mergeCell ref="J13:K13"/>
    <mergeCell ref="J16:K16"/>
    <mergeCell ref="J5:K5"/>
    <mergeCell ref="J11:K11"/>
    <mergeCell ref="J7:K7"/>
    <mergeCell ref="J32:K32"/>
    <mergeCell ref="J22:K22"/>
    <mergeCell ref="J24:K24"/>
    <mergeCell ref="J26:K26"/>
    <mergeCell ref="J29:K29"/>
  </mergeCells>
  <phoneticPr fontId="0" type="noConversion"/>
  <pageMargins left="0.5" right="0.5" top="0.5" bottom="0.5" header="0.25" footer="0.25"/>
  <pageSetup scale="81" orientation="portrait" r:id="rId1"/>
  <headerFooter alignWithMargins="0">
    <oddFooter>&amp;L&amp;F</oddFooter>
  </headerFooter>
  <colBreaks count="1" manualBreakCount="1">
    <brk id="16" max="1048575" man="1"/>
  </colBreaks>
  <ignoredErrors>
    <ignoredError sqref="AH1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678E-C5DA-4781-B234-88E711361B87}">
  <dimension ref="A1:AP44"/>
  <sheetViews>
    <sheetView showGridLines="0" zoomScale="90" zoomScaleNormal="100" workbookViewId="0">
      <selection sqref="A1:O1"/>
    </sheetView>
  </sheetViews>
  <sheetFormatPr defaultColWidth="0" defaultRowHeight="12.75" zeroHeight="1" x14ac:dyDescent="0.2"/>
  <cols>
    <col min="1" max="1" width="4.140625" style="3" customWidth="1"/>
    <col min="2" max="2" width="2.5703125" customWidth="1"/>
    <col min="3" max="4" width="9.140625" customWidth="1"/>
    <col min="5" max="5" width="5.85546875" customWidth="1"/>
    <col min="6" max="6" width="8.85546875" customWidth="1"/>
    <col min="7" max="7" width="3.140625" customWidth="1"/>
    <col min="8" max="8" width="10.140625" customWidth="1"/>
    <col min="9" max="9" width="3.85546875" customWidth="1"/>
    <col min="10" max="10" width="8.140625" customWidth="1"/>
    <col min="11" max="11" width="6.28515625" customWidth="1"/>
    <col min="12" max="12" width="5.5703125" customWidth="1"/>
    <col min="13" max="13" width="10.7109375" customWidth="1"/>
    <col min="14" max="14" width="8.140625" customWidth="1"/>
    <col min="15" max="15" width="12.28515625" customWidth="1"/>
    <col min="16" max="16" width="10.28515625" customWidth="1"/>
    <col min="17" max="18" width="4.7109375" style="27" customWidth="1"/>
    <col min="19" max="19" width="4.140625" customWidth="1"/>
    <col min="20" max="20" width="2.5703125" customWidth="1"/>
    <col min="21" max="24" width="9.140625" customWidth="1"/>
    <col min="25" max="25" width="4.5703125" customWidth="1"/>
    <col min="26" max="26" width="10.140625" customWidth="1"/>
    <col min="27" max="27" width="3.140625" customWidth="1"/>
    <col min="28" max="28" width="9.140625" customWidth="1"/>
    <col min="29" max="29" width="6.28515625" customWidth="1"/>
    <col min="30" max="30" width="3.85546875" customWidth="1"/>
    <col min="31" max="31" width="10.7109375" customWidth="1"/>
    <col min="32" max="32" width="8.140625" customWidth="1"/>
    <col min="33" max="33" width="12.28515625" customWidth="1"/>
    <col min="34" max="34" width="10.28515625" customWidth="1"/>
    <col min="35" max="35" width="4.7109375" style="63" customWidth="1"/>
    <col min="36" max="42" width="0" hidden="1" customWidth="1"/>
    <col min="43" max="16384" width="9.140625" hidden="1"/>
  </cols>
  <sheetData>
    <row r="1" spans="1:42" ht="17.100000000000001" customHeight="1" x14ac:dyDescent="0.2">
      <c r="A1" s="100" t="s">
        <v>65</v>
      </c>
      <c r="B1" s="100"/>
      <c r="C1" s="100"/>
      <c r="D1" s="100"/>
      <c r="E1" s="100"/>
      <c r="F1" s="100"/>
      <c r="G1" s="100"/>
      <c r="H1" s="100"/>
      <c r="I1" s="100"/>
      <c r="J1" s="100"/>
      <c r="K1" s="100"/>
      <c r="L1" s="100"/>
      <c r="M1" s="100"/>
      <c r="N1" s="100"/>
      <c r="O1" s="100"/>
      <c r="P1" s="60"/>
      <c r="Q1" s="64"/>
      <c r="S1" s="100" t="s">
        <v>65</v>
      </c>
      <c r="T1" s="100"/>
      <c r="U1" s="100"/>
      <c r="V1" s="100"/>
      <c r="W1" s="100"/>
      <c r="X1" s="100"/>
      <c r="Y1" s="100"/>
      <c r="Z1" s="100"/>
      <c r="AA1" s="100"/>
      <c r="AB1" s="100"/>
      <c r="AC1" s="100"/>
      <c r="AD1" s="100"/>
      <c r="AE1" s="100"/>
      <c r="AF1" s="100"/>
      <c r="AG1" s="100"/>
      <c r="AH1" s="60"/>
    </row>
    <row r="2" spans="1:42" ht="17.100000000000001" customHeight="1" x14ac:dyDescent="0.2">
      <c r="A2" s="100" t="s">
        <v>115</v>
      </c>
      <c r="B2" s="100"/>
      <c r="C2" s="100"/>
      <c r="D2" s="100"/>
      <c r="E2" s="100"/>
      <c r="F2" s="100"/>
      <c r="G2" s="100"/>
      <c r="H2" s="100"/>
      <c r="I2" s="100"/>
      <c r="J2" s="100"/>
      <c r="K2" s="100"/>
      <c r="L2" s="100"/>
      <c r="M2" s="100"/>
      <c r="N2" s="100"/>
      <c r="O2" s="100"/>
      <c r="Q2" s="64"/>
      <c r="S2" s="100" t="s">
        <v>115</v>
      </c>
      <c r="T2" s="100"/>
      <c r="U2" s="100"/>
      <c r="V2" s="100"/>
      <c r="W2" s="100"/>
      <c r="X2" s="100"/>
      <c r="Y2" s="100"/>
      <c r="Z2" s="100"/>
      <c r="AA2" s="100"/>
      <c r="AB2" s="100"/>
      <c r="AC2" s="100"/>
      <c r="AD2" s="100"/>
      <c r="AE2" s="100"/>
      <c r="AF2" s="100"/>
      <c r="AG2" s="100"/>
      <c r="AH2" s="60"/>
    </row>
    <row r="3" spans="1:42" ht="17.100000000000001" customHeight="1" x14ac:dyDescent="0.25">
      <c r="A3" s="100" t="s">
        <v>108</v>
      </c>
      <c r="B3" s="100"/>
      <c r="C3" s="100"/>
      <c r="D3" s="100"/>
      <c r="E3" s="100"/>
      <c r="F3" s="100"/>
      <c r="G3" s="100"/>
      <c r="H3" s="100"/>
      <c r="I3" s="100"/>
      <c r="J3" s="100"/>
      <c r="K3" s="100"/>
      <c r="L3" s="100"/>
      <c r="M3" s="100"/>
      <c r="N3" s="100"/>
      <c r="O3" s="100"/>
      <c r="Q3" s="64"/>
      <c r="S3" s="102" t="s">
        <v>107</v>
      </c>
      <c r="T3" s="102"/>
      <c r="U3" s="102"/>
      <c r="V3" s="102"/>
      <c r="W3" s="102"/>
      <c r="X3" s="102"/>
      <c r="Y3" s="102"/>
      <c r="Z3" s="102"/>
      <c r="AA3" s="102"/>
      <c r="AB3" s="102"/>
      <c r="AC3" s="102"/>
      <c r="AD3" s="102"/>
      <c r="AE3" s="102"/>
      <c r="AF3" s="102"/>
      <c r="AG3" s="102"/>
    </row>
    <row r="4" spans="1:42" ht="7.5" customHeight="1" x14ac:dyDescent="0.2">
      <c r="Q4" s="64"/>
    </row>
    <row r="5" spans="1:42" ht="31.5" customHeight="1" x14ac:dyDescent="0.2">
      <c r="A5" s="10" t="s">
        <v>38</v>
      </c>
      <c r="F5" s="25" t="s">
        <v>66</v>
      </c>
      <c r="H5" s="26" t="s">
        <v>70</v>
      </c>
      <c r="I5" s="12"/>
      <c r="J5" s="86" t="s">
        <v>71</v>
      </c>
      <c r="K5" s="87"/>
      <c r="M5" s="14" t="s">
        <v>67</v>
      </c>
      <c r="O5" s="24" t="s">
        <v>68</v>
      </c>
      <c r="Q5" s="64"/>
      <c r="S5" s="10" t="s">
        <v>38</v>
      </c>
      <c r="X5" s="25" t="s">
        <v>66</v>
      </c>
      <c r="Z5" s="26" t="s">
        <v>70</v>
      </c>
      <c r="AA5" s="12"/>
      <c r="AB5" s="86" t="s">
        <v>71</v>
      </c>
      <c r="AC5" s="87"/>
      <c r="AE5" s="14" t="s">
        <v>67</v>
      </c>
      <c r="AG5" s="24" t="s">
        <v>68</v>
      </c>
    </row>
    <row r="6" spans="1:42" ht="6.75" customHeight="1" x14ac:dyDescent="0.2">
      <c r="Q6" s="67"/>
      <c r="S6" s="3"/>
      <c r="AH6" s="6" t="str">
        <f>IF('Enrollment Input'!V15=0," ",IF(AG7=0,"ADD to 1-6",IF(AG7=AI6," ","Minimum")))</f>
        <v xml:space="preserve"> </v>
      </c>
    </row>
    <row r="7" spans="1:42" ht="15.75" x14ac:dyDescent="0.25">
      <c r="B7" s="7" t="s">
        <v>113</v>
      </c>
      <c r="F7" s="62" t="str">
        <f>IF('Enrollment Input'!$G$15=0,"0",'Enrollment Input'!$G$15)</f>
        <v>0</v>
      </c>
      <c r="G7" s="22"/>
      <c r="H7" s="21"/>
      <c r="I7" s="21"/>
      <c r="J7" s="99" t="str">
        <f>IF('Enrollment Input'!$G$15=0,"0",'Enrollment Input'!$G$15)</f>
        <v>0</v>
      </c>
      <c r="K7" s="99"/>
      <c r="L7" s="13" t="s">
        <v>42</v>
      </c>
      <c r="M7" s="9">
        <f>IF('Enrollment Input'!G15=0,0,LOOKUP(J7,criteria!$A$3:$A$10,criteria!$B$3:$B$10))</f>
        <v>0</v>
      </c>
      <c r="N7" s="11" t="s">
        <v>14</v>
      </c>
      <c r="O7" s="62">
        <f>IF(Q7=0,0,IF(Q7&lt;LOOKUP(J7,criteria!$A$3:$A$10,criteria!$C$3:$C$10),LOOKUP(J7,criteria!$A$3:$A$10,criteria!$C$3:$C$10),IF(LOOKUP(J7,criteria!$A$3:$A$10,criteria!$C$3:$C$10)=0,0,Q7)))</f>
        <v>0</v>
      </c>
      <c r="P7" s="6" t="str">
        <f>IF('Enrollment Input'!G15=0," ",IF(O7=0,"ADD to 1-6",IF(O7=Q7," ","Minimum")))</f>
        <v xml:space="preserve"> </v>
      </c>
      <c r="Q7" s="67">
        <f>ROUND(IF('Enrollment Input'!G15=0,0,IF(M7=0,0,(J7/M7))),2)</f>
        <v>0</v>
      </c>
      <c r="S7" s="3"/>
      <c r="T7" s="7" t="s">
        <v>113</v>
      </c>
      <c r="X7" s="62" t="str">
        <f>IF('Enrollment Input'!$G$15=0,"0",'Enrollment Input'!$G$15)</f>
        <v>0</v>
      </c>
      <c r="Y7" s="21"/>
      <c r="Z7" s="21"/>
      <c r="AA7" s="21"/>
      <c r="AB7" s="99" t="str">
        <f>IF('Enrollment Input'!G15=0,"0",'Enrollment Input'!G15)</f>
        <v>0</v>
      </c>
      <c r="AC7" s="99"/>
      <c r="AD7" s="13" t="s">
        <v>42</v>
      </c>
      <c r="AE7" s="9">
        <f>IF('Enrollment Input'!G15=0,0,LOOKUP(AB7,criteria!$A$3:$A$10,criteria!$B$3:$B$10))</f>
        <v>0</v>
      </c>
      <c r="AF7" s="22" t="s">
        <v>14</v>
      </c>
      <c r="AG7" s="62">
        <f>IF(AI7=0,0,IF(AI7&lt;LOOKUP(AB7,criteria!$A$3:$A$10,criteria!$C$3:$C$10),LOOKUP(AB7,criteria!$A$3:$A$10,criteria!$C$3:$C$10),IF(LOOKUP(AB7,criteria!$A$3:$A$10,criteria!$C$3:$C$10)=0,0,AI7)))</f>
        <v>0</v>
      </c>
      <c r="AH7" s="6" t="str">
        <f>IF('Enrollment Input'!G15=0," ",IF(AG7=0,"ADD to 1-6",IF(AG7=AI7," ","Minimum")))</f>
        <v xml:space="preserve"> </v>
      </c>
      <c r="AI7" s="63">
        <f>ROUND(IF('Enrollment Input'!G15=0,0,IF(AE7=0,0,(AB7/AE7))),2)</f>
        <v>0</v>
      </c>
      <c r="AJ7" s="66"/>
      <c r="AK7" s="66"/>
      <c r="AL7" s="66"/>
      <c r="AM7" s="66"/>
      <c r="AN7" s="66"/>
      <c r="AO7" s="66"/>
      <c r="AP7" s="66"/>
    </row>
    <row r="8" spans="1:42" ht="6.75" customHeight="1" x14ac:dyDescent="0.2">
      <c r="F8" s="21"/>
      <c r="G8" s="21"/>
      <c r="H8" s="21"/>
      <c r="I8" s="21"/>
      <c r="J8" s="21"/>
      <c r="K8" s="21"/>
      <c r="O8" s="21"/>
      <c r="Q8" s="67"/>
      <c r="S8" s="3"/>
      <c r="X8" s="21"/>
      <c r="Y8" s="21"/>
      <c r="Z8" s="21"/>
      <c r="AA8" s="21"/>
      <c r="AB8" s="21"/>
      <c r="AC8" s="21"/>
      <c r="AF8" s="21"/>
      <c r="AG8" s="21"/>
      <c r="AJ8" s="66"/>
      <c r="AK8" s="66"/>
      <c r="AL8" s="66"/>
      <c r="AM8" s="66"/>
      <c r="AN8" s="66"/>
      <c r="AO8" s="66"/>
      <c r="AP8" s="66"/>
    </row>
    <row r="9" spans="1:42" x14ac:dyDescent="0.2">
      <c r="B9" s="7" t="s">
        <v>47</v>
      </c>
      <c r="F9" s="21"/>
      <c r="G9" s="21"/>
      <c r="H9" s="21"/>
      <c r="I9" s="21"/>
      <c r="J9" s="21"/>
      <c r="K9" s="21"/>
      <c r="O9" s="21"/>
      <c r="Q9" s="67"/>
      <c r="S9" s="3"/>
      <c r="T9" s="7" t="s">
        <v>47</v>
      </c>
      <c r="X9" s="21"/>
      <c r="Y9" s="21"/>
      <c r="Z9" s="21"/>
      <c r="AA9" s="21"/>
      <c r="AB9" s="21"/>
      <c r="AC9" s="21"/>
      <c r="AF9" s="21"/>
      <c r="AG9" s="21"/>
      <c r="AJ9" s="66"/>
      <c r="AK9" s="66"/>
      <c r="AL9" s="66"/>
      <c r="AM9" s="66"/>
      <c r="AN9" s="66"/>
      <c r="AO9" s="66"/>
      <c r="AP9" s="66"/>
    </row>
    <row r="10" spans="1:42" x14ac:dyDescent="0.2">
      <c r="B10" s="6" t="s">
        <v>69</v>
      </c>
      <c r="F10" s="21"/>
      <c r="G10" s="21"/>
      <c r="H10" s="21"/>
      <c r="I10" s="21"/>
      <c r="J10" s="21"/>
      <c r="K10" s="21"/>
      <c r="O10" s="21"/>
      <c r="Q10" s="67"/>
      <c r="S10" s="3"/>
      <c r="T10" s="6" t="s">
        <v>69</v>
      </c>
      <c r="X10" s="21"/>
      <c r="Y10" s="21"/>
      <c r="Z10" s="21"/>
      <c r="AA10" s="21"/>
      <c r="AB10" s="21"/>
      <c r="AC10" s="21"/>
      <c r="AF10" s="21"/>
      <c r="AG10" s="21"/>
      <c r="AJ10" s="66"/>
      <c r="AK10" s="66"/>
      <c r="AL10" s="66"/>
      <c r="AM10" s="66"/>
      <c r="AN10" s="66"/>
      <c r="AO10" s="66"/>
      <c r="AP10" s="66"/>
    </row>
    <row r="11" spans="1:42" ht="16.5" customHeight="1" x14ac:dyDescent="0.25">
      <c r="C11" s="8" t="s">
        <v>39</v>
      </c>
      <c r="F11" s="62" t="str">
        <f>IF(J11=0," ",IF($J$16&gt;300," ",'Enrollment Input'!G18))</f>
        <v xml:space="preserve"> </v>
      </c>
      <c r="G11" s="65" t="s">
        <v>75</v>
      </c>
      <c r="H11" s="62" t="str">
        <f>IF(J11=0," ",'Exceptional Child Calc'!H25)</f>
        <v xml:space="preserve"> </v>
      </c>
      <c r="I11" s="22" t="s">
        <v>14</v>
      </c>
      <c r="J11" s="99">
        <f>IF('Enrollment Input'!G18=0,0,IF(SUM('Enrollment Input'!G18-'Exceptional Child Calc'!H25)+SUM('Enrollment Input'!G19-'Exceptional Child Calc'!H26)&gt;299.99,SUM('Enrollment Input'!G18-'Exceptional Child Calc'!H25),0))</f>
        <v>0</v>
      </c>
      <c r="K11" s="99"/>
      <c r="L11" s="13" t="s">
        <v>42</v>
      </c>
      <c r="M11" s="9">
        <f>IF(SUM('Enrollment Input'!$G$18-'Exceptional Child Calc'!$H$25)+SUM('Enrollment Input'!$G$19-'Exceptional Child Calc'!$H$26)&gt;299.99,20,0)</f>
        <v>0</v>
      </c>
      <c r="N11" s="11" t="s">
        <v>14</v>
      </c>
      <c r="O11" s="62">
        <f>ROUND(IF(SUM('Enrollment Input'!$G$18-'Exceptional Child Calc'!$H$25)+SUM('Enrollment Input'!$G$19-'Exceptional Child Calc'!$H$26)&lt;300,0,IF(Q11+Q13&lt;15,0,(J11/M11))),2)</f>
        <v>0</v>
      </c>
      <c r="P11" t="str">
        <f>IF(O11=0," ",IF(O11=Q11," ","Minimum"))</f>
        <v xml:space="preserve"> </v>
      </c>
      <c r="Q11" s="67">
        <f>ROUND(IF(SUM('Enrollment Input'!$G$18-'Exceptional Child Calc'!$H$25)+SUM('Enrollment Input'!$G$19-'Exceptional Child Calc'!$H$26)&lt;300,0,(J11/M11)),2)</f>
        <v>0</v>
      </c>
      <c r="S11" s="3"/>
      <c r="U11" s="8" t="s">
        <v>39</v>
      </c>
      <c r="X11" s="62" t="str">
        <f>IF(AB11=0," ",IF($AB$16&gt;300," ",'Enrollment Input'!G18))</f>
        <v xml:space="preserve"> </v>
      </c>
      <c r="Y11" s="65" t="s">
        <v>75</v>
      </c>
      <c r="Z11" s="62" t="str">
        <f>IF(AB11=0," ",'Exceptional Child Calc'!H25)</f>
        <v xml:space="preserve"> </v>
      </c>
      <c r="AA11" s="22" t="s">
        <v>14</v>
      </c>
      <c r="AB11" s="99">
        <f>IF('Enrollment Input'!G18=0,0,IF(SUM('Enrollment Input'!G18-'Exceptional Child Calc'!H25)+SUM('Enrollment Input'!G19-'Exceptional Child Calc'!H26)&gt;299.99,SUM('Enrollment Input'!G18-'Exceptional Child Calc'!H25),0))</f>
        <v>0</v>
      </c>
      <c r="AC11" s="99"/>
      <c r="AD11" s="13" t="s">
        <v>42</v>
      </c>
      <c r="AE11" s="9">
        <f>IF(SUM('Enrollment Input'!$G$18-'Exceptional Child Calc'!$H$25)+SUM('Enrollment Input'!$G$19-'Exceptional Child Calc'!$H$26)&gt;299.99,20,0)</f>
        <v>0</v>
      </c>
      <c r="AF11" s="22" t="s">
        <v>14</v>
      </c>
      <c r="AG11" s="62">
        <f>ROUND(IF(SUM('Enrollment Input'!$G$18-'Exceptional Child Calc'!$H$25)+SUM('Enrollment Input'!$G$19-'Exceptional Child Calc'!$H$26)&lt;300,0,IF(AI11+AI13&lt;15,0,(AB11/AE11))),2)</f>
        <v>0</v>
      </c>
      <c r="AH11" t="str">
        <f>IF(AG11=0," ",IF(AG11=AI11," ","Minimum"))</f>
        <v xml:space="preserve"> </v>
      </c>
      <c r="AI11" s="63">
        <f>ROUND(IF(SUM('Enrollment Input'!$G$18-'Exceptional Child Calc'!$H$25)+SUM('Enrollment Input'!$G$19-'Exceptional Child Calc'!$H$26)&lt;300,0,(AB11/AE11)),2)</f>
        <v>0</v>
      </c>
      <c r="AJ11" s="66"/>
      <c r="AK11" s="66"/>
      <c r="AL11" s="66"/>
      <c r="AM11" s="66"/>
      <c r="AN11" s="66"/>
      <c r="AO11" s="66"/>
      <c r="AP11" s="66"/>
    </row>
    <row r="12" spans="1:42" ht="9" customHeight="1" x14ac:dyDescent="0.2">
      <c r="B12" s="8"/>
      <c r="F12" s="21"/>
      <c r="G12" s="21"/>
      <c r="H12" s="21"/>
      <c r="I12" s="21"/>
      <c r="J12" s="21"/>
      <c r="K12" s="21"/>
      <c r="O12" s="21"/>
      <c r="Q12" s="67"/>
      <c r="S12" s="3"/>
      <c r="T12" s="8"/>
      <c r="X12" s="21"/>
      <c r="Y12" s="21"/>
      <c r="Z12" s="21"/>
      <c r="AA12" s="21"/>
      <c r="AB12" s="21"/>
      <c r="AC12" s="21"/>
      <c r="AF12" s="21"/>
      <c r="AG12" s="21"/>
      <c r="AJ12" s="66"/>
      <c r="AK12" s="66"/>
      <c r="AL12" s="66"/>
      <c r="AM12" s="66"/>
      <c r="AN12" s="66"/>
      <c r="AO12" s="66"/>
      <c r="AP12" s="66"/>
    </row>
    <row r="13" spans="1:42" ht="15.75" x14ac:dyDescent="0.25">
      <c r="C13" s="8" t="s">
        <v>40</v>
      </c>
      <c r="F13" s="62" t="str">
        <f>IF(J13=0," ",IF($J$16&gt;300," ",'Enrollment Input'!G19))</f>
        <v xml:space="preserve"> </v>
      </c>
      <c r="G13" s="65" t="s">
        <v>75</v>
      </c>
      <c r="H13" s="62" t="str">
        <f>IF(J13=0," ",'Exceptional Child Calc'!H26)</f>
        <v xml:space="preserve"> </v>
      </c>
      <c r="I13" s="22" t="s">
        <v>14</v>
      </c>
      <c r="J13" s="99">
        <f>IF('Enrollment Input'!G19=0,0,IF(SUM('Enrollment Input'!G18-'Exceptional Child Calc'!H25)+SUM('Enrollment Input'!G19-'Exceptional Child Calc'!H26)&gt;299.99,SUM('Enrollment Input'!G19-'Exceptional Child Calc'!H26),0))</f>
        <v>0</v>
      </c>
      <c r="K13" s="99"/>
      <c r="L13" s="13" t="s">
        <v>42</v>
      </c>
      <c r="M13" s="9">
        <f>IF(SUM('Enrollment Input'!$G$18-'Exceptional Child Calc'!$H$25)+SUM('Enrollment Input'!$G$19-'Exceptional Child Calc'!$H$26)&gt;299.99,23,0)</f>
        <v>0</v>
      </c>
      <c r="N13" s="11" t="s">
        <v>14</v>
      </c>
      <c r="O13" s="62">
        <f>ROUND(IF(SUM('Enrollment Input'!$G$18-'Exceptional Child Calc'!$H$25)+SUM('Enrollment Input'!$G$19-'Exceptional Child Calc'!$H$26)&lt;300,0,IF(Q11+Q13&lt;15,0,($J$13/$M$13))),2)</f>
        <v>0</v>
      </c>
      <c r="P13" t="str">
        <f>IF(O13=0," ",IF(O13=Q13," ","Minimum"))</f>
        <v xml:space="preserve"> </v>
      </c>
      <c r="Q13" s="67">
        <f>ROUND(IF(SUM('Enrollment Input'!$G$18-'Exceptional Child Calc'!$H$25)+SUM('Enrollment Input'!$G$19-'Exceptional Child Calc'!$H$26)&lt;300,0,($J$13/$M$13)),2)</f>
        <v>0</v>
      </c>
      <c r="S13" s="3"/>
      <c r="U13" s="8" t="s">
        <v>40</v>
      </c>
      <c r="X13" s="62" t="str">
        <f>IF(AB13=0," ",IF($AB$16&gt;300," ",'Enrollment Input'!G19))</f>
        <v xml:space="preserve"> </v>
      </c>
      <c r="Y13" s="65" t="s">
        <v>75</v>
      </c>
      <c r="Z13" s="62" t="str">
        <f>IF(AB13=0," ",'Exceptional Child Calc'!H26)</f>
        <v xml:space="preserve"> </v>
      </c>
      <c r="AA13" s="22" t="s">
        <v>14</v>
      </c>
      <c r="AB13" s="99">
        <f>IF('Enrollment Input'!G19=0,0,IF(SUM('Enrollment Input'!G18-'Exceptional Child Calc'!H25)+SUM('Enrollment Input'!G19-'Exceptional Child Calc'!H26)&gt;299.99,SUM('Enrollment Input'!G19-'Exceptional Child Calc'!H26),0))</f>
        <v>0</v>
      </c>
      <c r="AC13" s="99"/>
      <c r="AD13" s="13" t="s">
        <v>42</v>
      </c>
      <c r="AE13" s="9">
        <f>IF(SUM('Enrollment Input'!$G$18-'Exceptional Child Calc'!$H$25)+SUM('Enrollment Input'!$G$19-'Exceptional Child Calc'!$H$26)&gt;299.99,23,0)</f>
        <v>0</v>
      </c>
      <c r="AF13" s="22" t="s">
        <v>14</v>
      </c>
      <c r="AG13" s="62">
        <f>ROUND(IF(SUM('Enrollment Input'!$G$18-'Exceptional Child Calc'!$H$25)+SUM('Enrollment Input'!$G$19-'Exceptional Child Calc'!$H$26)&lt;300,0,IF(AI11+AI13&lt;15,0,($AB$13/$AE$13))),2)</f>
        <v>0</v>
      </c>
      <c r="AH13" t="str">
        <f>IF(AG13=0," ",IF(AG13=AI13," ","Minimum"))</f>
        <v xml:space="preserve"> </v>
      </c>
      <c r="AI13" s="63">
        <f>ROUND(IF(SUM('Enrollment Input'!$G$18-'Exceptional Child Calc'!$H$25)+SUM('Enrollment Input'!$G$19-'Exceptional Child Calc'!$H$26)&lt;300,0,(AB13/AE13)),2)</f>
        <v>0</v>
      </c>
      <c r="AJ13" s="66"/>
      <c r="AK13" s="66"/>
      <c r="AL13" s="66"/>
      <c r="AM13" s="66"/>
      <c r="AN13" s="66"/>
      <c r="AO13" s="66"/>
      <c r="AP13" s="66"/>
    </row>
    <row r="14" spans="1:42" ht="17.25" customHeight="1" x14ac:dyDescent="0.2">
      <c r="B14" s="7" t="s">
        <v>47</v>
      </c>
      <c r="F14" s="22"/>
      <c r="G14" s="65"/>
      <c r="H14" s="22"/>
      <c r="I14" s="22"/>
      <c r="J14" s="22"/>
      <c r="K14" s="22"/>
      <c r="M14" s="12"/>
      <c r="N14" s="11"/>
      <c r="O14" s="22" t="str">
        <f>IF(P14="Minimum",15," ")</f>
        <v xml:space="preserve"> </v>
      </c>
      <c r="P14" t="str">
        <f>IF(Q11+Q13=0," ",IF(Q11+Q13&lt;15,"Minimum"," "))</f>
        <v xml:space="preserve"> </v>
      </c>
      <c r="Q14" s="67"/>
      <c r="S14" s="3"/>
      <c r="T14" s="7" t="s">
        <v>47</v>
      </c>
      <c r="X14" s="21"/>
      <c r="Y14" s="21"/>
      <c r="Z14" s="21"/>
      <c r="AA14" s="21"/>
      <c r="AB14" s="21"/>
      <c r="AC14" s="21"/>
      <c r="AF14" s="21"/>
      <c r="AG14" s="22" t="str">
        <f>IF(AH14="Minimum",15," ")</f>
        <v xml:space="preserve"> </v>
      </c>
      <c r="AH14" t="str">
        <f>IF(AI11+AI13=0," ",IF(AI11+AI13&lt;15,"Minimum"," "))</f>
        <v xml:space="preserve"> </v>
      </c>
      <c r="AJ14" s="66"/>
      <c r="AK14" s="66"/>
      <c r="AL14" s="66"/>
      <c r="AM14" s="66"/>
      <c r="AN14" s="66"/>
      <c r="AO14" s="66"/>
      <c r="AP14" s="66"/>
    </row>
    <row r="15" spans="1:42" x14ac:dyDescent="0.2">
      <c r="B15" s="6" t="s">
        <v>78</v>
      </c>
      <c r="F15" s="21"/>
      <c r="G15" s="21"/>
      <c r="H15" s="21"/>
      <c r="I15" s="21"/>
      <c r="J15" s="21"/>
      <c r="K15" s="21"/>
      <c r="O15" s="22" t="str">
        <f>IF(P15="Minimum",15," ")</f>
        <v xml:space="preserve"> </v>
      </c>
      <c r="Q15" s="67"/>
      <c r="S15" s="3"/>
      <c r="T15" s="6" t="s">
        <v>78</v>
      </c>
      <c r="X15" s="21"/>
      <c r="Y15" s="21"/>
      <c r="Z15" s="21"/>
      <c r="AA15" s="21"/>
      <c r="AB15" s="21"/>
      <c r="AC15" s="21"/>
      <c r="AF15" s="21"/>
      <c r="AG15" s="21"/>
      <c r="AJ15" s="66"/>
      <c r="AK15" s="66"/>
      <c r="AL15" s="66"/>
      <c r="AM15" s="66"/>
      <c r="AN15" s="66"/>
      <c r="AO15" s="66"/>
      <c r="AP15" s="66"/>
    </row>
    <row r="16" spans="1:42" ht="15.75" x14ac:dyDescent="0.25">
      <c r="C16" s="8" t="s">
        <v>41</v>
      </c>
      <c r="F16" s="62" t="str">
        <f>IF(J16=0," ",IF(J16&lt;300,SUM('Enrollment Input'!G18+'Enrollment Input'!G19)," "))</f>
        <v xml:space="preserve"> </v>
      </c>
      <c r="G16" s="65" t="s">
        <v>75</v>
      </c>
      <c r="H16" s="62" t="str">
        <f>IF(J16=0," ",'Exceptional Child Calc'!H22)</f>
        <v xml:space="preserve"> </v>
      </c>
      <c r="I16" s="22" t="s">
        <v>14</v>
      </c>
      <c r="J16" s="99">
        <f>IF('Enrollment Input'!G20=0,0,IF(SUM('Enrollment Input'!G18-'Exceptional Child Calc'!H25)+SUM('Enrollment Input'!G19-'Exceptional Child Calc'!H26)&lt;300,IF(P7="ADD to 1-6",SUM('Enrollment Input'!G18-'Exceptional Child Calc'!H25)+SUM('Enrollment Input'!G19-'Exceptional Child Calc'!H26)+'Enrollment Input'!G15,SUM('Enrollment Input'!G18-'Exceptional Child Calc'!H25)+SUM('Enrollment Input'!G19-'Exceptional Child Calc'!H26)),0))</f>
        <v>0</v>
      </c>
      <c r="K16" s="99"/>
      <c r="L16" s="13" t="s">
        <v>42</v>
      </c>
      <c r="M16" s="9">
        <f>IF(J16=0,0,LOOKUP(J16,criteria!$M$3:$M$11,criteria!$N$3:$N$11))</f>
        <v>0</v>
      </c>
      <c r="N16" s="11" t="s">
        <v>14</v>
      </c>
      <c r="O16" s="62">
        <f>IF(Q16=0,0,IF(Q16&lt;LOOKUP(J16,criteria!$M$3:$M$10,criteria!$O$3:$O$10),LOOKUP(J16,criteria!$M$3:$M$10,criteria!$O$3:$O$10),Q16))</f>
        <v>0</v>
      </c>
      <c r="P16" t="str">
        <f>IF(O16=0," ",IF(O16=Q16," ","Minimum"))</f>
        <v xml:space="preserve"> </v>
      </c>
      <c r="Q16" s="67">
        <f>ROUND(IF('Enrollment Input'!G20=0,0,IF(SUM('Enrollment Input'!$G$18-'Exceptional Child Calc'!$H$25)+SUM('Enrollment Input'!$G$19-'Exceptional Child Calc'!$H$26)&gt;299.99,0,(J16/M16))),2)</f>
        <v>0</v>
      </c>
      <c r="S16" s="3"/>
      <c r="U16" s="8" t="s">
        <v>41</v>
      </c>
      <c r="X16" s="62" t="str">
        <f>IF(AB16=0," ",IF(AB16&lt;300,SUM('Enrollment Input'!G18+'Enrollment Input'!G19)," "))</f>
        <v xml:space="preserve"> </v>
      </c>
      <c r="Y16" s="65" t="s">
        <v>75</v>
      </c>
      <c r="Z16" s="62" t="str">
        <f>IF(AB16=0," ",'Exceptional Child Calc'!H22)</f>
        <v xml:space="preserve"> </v>
      </c>
      <c r="AA16" s="22" t="s">
        <v>14</v>
      </c>
      <c r="AB16" s="99">
        <f>IF('Enrollment Input'!G20=0,0,IF(SUM('Enrollment Input'!G18-'Exceptional Child Calc'!H25)+SUM('Enrollment Input'!G19-'Exceptional Child Calc'!H26)&lt;300,IF(AH7="ADD to 1-6",SUM('Enrollment Input'!G18-'Exceptional Child Calc'!H25)+SUM('Enrollment Input'!G19-'Exceptional Child Calc'!H26)+'Enrollment Input'!G15,SUM('Enrollment Input'!G18-'Exceptional Child Calc'!H25)+SUM('Enrollment Input'!G19-'Exceptional Child Calc'!H26)),0))</f>
        <v>0</v>
      </c>
      <c r="AC16" s="99"/>
      <c r="AD16" s="13" t="s">
        <v>42</v>
      </c>
      <c r="AE16" s="9">
        <f>IF(AB16=0,0,LOOKUP(AB16,criteria!$M$3:$M$11,criteria!$N$3:$N$11))</f>
        <v>0</v>
      </c>
      <c r="AF16" s="22" t="s">
        <v>14</v>
      </c>
      <c r="AG16" s="62">
        <f>IF(AI16=0,0,IF(AI16&lt;LOOKUP(AB16,criteria!$M$3:$M$10,criteria!$O$3:$O$10),LOOKUP(AB16,criteria!$M$3:$M$10,criteria!$O$3:$O$10),AI16))</f>
        <v>0</v>
      </c>
      <c r="AH16" t="str">
        <f>IF(AG16=0," ",IF(AG16=AI16," ","Minimum"))</f>
        <v xml:space="preserve"> </v>
      </c>
      <c r="AI16" s="63">
        <f>ROUND(IF('Enrollment Input'!G20=0,0,IF(SUM('Enrollment Input'!$G$18-'Exceptional Child Calc'!$H$25)+SUM('Enrollment Input'!$G$19-'Exceptional Child Calc'!$H$26)&gt;299.99,0,(AB16/AE16))),2)</f>
        <v>0</v>
      </c>
      <c r="AJ16" s="66"/>
      <c r="AK16" s="66"/>
      <c r="AL16" s="66"/>
      <c r="AM16" s="66"/>
      <c r="AN16" s="66"/>
      <c r="AO16" s="66"/>
      <c r="AP16" s="66"/>
    </row>
    <row r="17" spans="1:42" ht="6" customHeight="1" x14ac:dyDescent="0.2">
      <c r="F17" s="21"/>
      <c r="G17" s="21"/>
      <c r="H17" s="21"/>
      <c r="I17" s="21"/>
      <c r="J17" s="21"/>
      <c r="K17" s="21"/>
      <c r="O17" s="21"/>
      <c r="Q17" s="67"/>
      <c r="S17" s="3"/>
      <c r="X17" s="21"/>
      <c r="Y17" s="21"/>
      <c r="Z17" s="21"/>
      <c r="AA17" s="21"/>
      <c r="AB17" s="21"/>
      <c r="AC17" s="21"/>
      <c r="AF17" s="21"/>
      <c r="AG17" s="21"/>
      <c r="AJ17" s="66"/>
      <c r="AK17" s="66"/>
      <c r="AL17" s="66"/>
      <c r="AM17" s="66"/>
      <c r="AN17" s="66"/>
      <c r="AO17" s="66"/>
      <c r="AP17" s="66"/>
    </row>
    <row r="18" spans="1:42" ht="15.75" x14ac:dyDescent="0.25">
      <c r="B18" s="7" t="s">
        <v>48</v>
      </c>
      <c r="F18" s="62" t="str">
        <f>IF(J18=0," ",'Enrollment Input'!G21)</f>
        <v xml:space="preserve"> </v>
      </c>
      <c r="G18" s="65" t="s">
        <v>75</v>
      </c>
      <c r="H18" s="62" t="str">
        <f>IF('Exceptional Child Calc'!$H$43=0," ",'Exceptional Child Calc'!$H$43)</f>
        <v xml:space="preserve"> </v>
      </c>
      <c r="I18" s="22" t="s">
        <v>14</v>
      </c>
      <c r="J18" s="99">
        <f>IF('Enrollment Input'!G21=0,0,SUM('Enrollment Input'!G21-'Exceptional Child Calc'!H43))</f>
        <v>0</v>
      </c>
      <c r="K18" s="99"/>
      <c r="L18" s="13" t="s">
        <v>42</v>
      </c>
      <c r="M18" s="9">
        <f>IF('Enrollment Input'!G21=0,0,IF(J18&gt;99.99,LOOKUP(J18,criteria!Q3:Q10,criteria!R3:R10),12))</f>
        <v>0</v>
      </c>
      <c r="N18" s="11" t="s">
        <v>14</v>
      </c>
      <c r="O18" s="62">
        <f>ROUND(IF(J18=0,0,IF(J18&lt;99.99,IF(M18=0,8,(J18/M18)),IF(Q18&lt;LOOKUP(J18,criteria!$Q$3:$Q$10,criteria!$S$3:$S$10),LOOKUP(J18,criteria!$Q$3:$Q$10,criteria!$S$3:$S$10),Q18))),2)</f>
        <v>0</v>
      </c>
      <c r="P18" t="str">
        <f>IF(O18=0," ",IF(O18=Q18," ","Minimum"))</f>
        <v xml:space="preserve"> </v>
      </c>
      <c r="Q18" s="67">
        <f>ROUND(IF(M18=0,0,(J18/M18)),2)</f>
        <v>0</v>
      </c>
      <c r="S18" s="3"/>
      <c r="T18" s="7" t="s">
        <v>48</v>
      </c>
      <c r="X18" s="62">
        <f>IF(AB18=0,0,'Enrollment Input'!G21)</f>
        <v>0</v>
      </c>
      <c r="Y18" s="65" t="s">
        <v>75</v>
      </c>
      <c r="Z18" s="62"/>
      <c r="AA18" s="22" t="s">
        <v>14</v>
      </c>
      <c r="AB18" s="99">
        <f>IF('Enrollment Input'!$G$21=0,0,'Enrollment Input'!$G$21)</f>
        <v>0</v>
      </c>
      <c r="AC18" s="99"/>
      <c r="AD18" s="13" t="s">
        <v>42</v>
      </c>
      <c r="AE18" s="9">
        <f>IF('Enrollment Input'!G21=0,0,IF(AB18&gt;99.99,LOOKUP(AB18,criteria!Q3:Q10,criteria!R3:R10),12))</f>
        <v>0</v>
      </c>
      <c r="AF18" s="22" t="s">
        <v>14</v>
      </c>
      <c r="AG18" s="62">
        <f>ROUND(IF(AB18=0,0,IF(AB18&lt;99.99,IF(AE18=0,8,(AB18/AE18)),IF(AI18&lt;LOOKUP(AB18,criteria!$Q$3:$Q$10,criteria!$S$3:$S$10),LOOKUP(AB18,criteria!$Q$3:$Q$10,criteria!$S$3:$S$10),AI18))),2)</f>
        <v>0</v>
      </c>
      <c r="AH18" t="str">
        <f>IF(AG18=0," ",IF(AG18=AI18," ","Minimum"))</f>
        <v xml:space="preserve"> </v>
      </c>
      <c r="AI18" s="63">
        <f>ROUND(IF(AE18=0,0,(AB18/AE18)),2)</f>
        <v>0</v>
      </c>
      <c r="AJ18" s="66"/>
      <c r="AK18" s="66"/>
      <c r="AL18" s="66"/>
      <c r="AM18" s="66"/>
      <c r="AN18" s="66"/>
      <c r="AO18" s="66"/>
      <c r="AP18" s="66"/>
    </row>
    <row r="19" spans="1:42" ht="9" customHeight="1" x14ac:dyDescent="0.2">
      <c r="B19" s="7"/>
      <c r="F19" s="22"/>
      <c r="G19" s="65"/>
      <c r="H19" s="22"/>
      <c r="I19" s="22"/>
      <c r="J19" s="22"/>
      <c r="K19" s="22"/>
      <c r="M19" s="12"/>
      <c r="N19" s="11"/>
      <c r="O19" s="22"/>
      <c r="Q19" s="67"/>
      <c r="S19" s="3"/>
      <c r="T19" s="7"/>
      <c r="X19" s="21"/>
      <c r="Y19" s="21"/>
      <c r="Z19" s="21"/>
      <c r="AA19" s="21"/>
      <c r="AB19" s="22"/>
      <c r="AC19" s="22"/>
      <c r="AE19" s="12"/>
      <c r="AF19" s="22"/>
      <c r="AG19" s="22"/>
      <c r="AJ19" s="66"/>
      <c r="AK19" s="66"/>
      <c r="AL19" s="66"/>
      <c r="AM19" s="66"/>
      <c r="AN19" s="66"/>
      <c r="AO19" s="66"/>
      <c r="AP19" s="66"/>
    </row>
    <row r="20" spans="1:42" ht="15" x14ac:dyDescent="0.2">
      <c r="A20" s="5" t="s">
        <v>59</v>
      </c>
      <c r="F20" s="21"/>
      <c r="G20" s="21"/>
      <c r="H20" s="21"/>
      <c r="I20" s="21"/>
      <c r="J20" s="21"/>
      <c r="K20" s="21"/>
      <c r="O20" s="21"/>
      <c r="Q20" s="67"/>
      <c r="S20" s="5" t="s">
        <v>59</v>
      </c>
      <c r="X20" s="21"/>
      <c r="Y20" s="21"/>
      <c r="Z20" s="21"/>
      <c r="AA20" s="21"/>
      <c r="AB20" s="21"/>
      <c r="AC20" s="21"/>
      <c r="AF20" s="21"/>
      <c r="AG20" s="21"/>
      <c r="AJ20" s="66"/>
      <c r="AK20" s="66"/>
      <c r="AL20" s="66"/>
      <c r="AM20" s="66"/>
      <c r="AN20" s="66"/>
      <c r="AO20" s="66"/>
      <c r="AP20" s="66"/>
    </row>
    <row r="21" spans="1:42" ht="3.75" customHeight="1" x14ac:dyDescent="0.2">
      <c r="F21" s="21"/>
      <c r="G21" s="21"/>
      <c r="H21" s="21"/>
      <c r="I21" s="21"/>
      <c r="J21" s="21"/>
      <c r="K21" s="21"/>
      <c r="O21" s="21"/>
      <c r="Q21" s="67"/>
      <c r="S21" s="3"/>
      <c r="X21" s="21"/>
      <c r="Y21" s="21"/>
      <c r="Z21" s="21"/>
      <c r="AA21" s="21"/>
      <c r="AB21" s="21"/>
      <c r="AC21" s="21"/>
      <c r="AF21" s="21"/>
      <c r="AG21" s="21"/>
      <c r="AJ21" s="66"/>
      <c r="AK21" s="66"/>
      <c r="AL21" s="66"/>
      <c r="AM21" s="66"/>
      <c r="AN21" s="66"/>
      <c r="AO21" s="66"/>
      <c r="AP21" s="66"/>
    </row>
    <row r="22" spans="1:42" x14ac:dyDescent="0.2">
      <c r="B22" t="s">
        <v>72</v>
      </c>
      <c r="F22" s="21"/>
      <c r="G22" s="21"/>
      <c r="H22" s="21"/>
      <c r="I22" s="21"/>
      <c r="J22" s="99" t="str">
        <f>IF('Exceptional Child Calc'!H55=0," ",'Exceptional Child Calc'!H55)</f>
        <v xml:space="preserve"> </v>
      </c>
      <c r="K22" s="99"/>
      <c r="O22" s="21"/>
      <c r="Q22" s="67"/>
      <c r="S22" s="3"/>
      <c r="T22" t="s">
        <v>72</v>
      </c>
      <c r="X22" s="21"/>
      <c r="Y22" s="21"/>
      <c r="Z22" s="21"/>
      <c r="AA22" s="21"/>
      <c r="AB22" s="99" t="str">
        <f>IF('Exceptional Child Calc'!H55=0," ",'Exceptional Child Calc'!H55)</f>
        <v xml:space="preserve"> </v>
      </c>
      <c r="AC22" s="99"/>
      <c r="AF22" s="21"/>
      <c r="AG22" s="21"/>
      <c r="AJ22" s="66"/>
      <c r="AK22" s="66"/>
      <c r="AL22" s="66"/>
      <c r="AM22" s="66"/>
      <c r="AN22" s="66"/>
      <c r="AO22" s="66"/>
      <c r="AP22" s="66"/>
    </row>
    <row r="23" spans="1:42" ht="9" customHeight="1" x14ac:dyDescent="0.2">
      <c r="F23" s="21"/>
      <c r="G23" s="21"/>
      <c r="H23" s="21"/>
      <c r="I23" s="21"/>
      <c r="J23" s="21"/>
      <c r="K23" s="21"/>
      <c r="O23" s="21"/>
      <c r="Q23" s="67"/>
      <c r="S23" s="3"/>
      <c r="X23" s="21"/>
      <c r="Y23" s="21"/>
      <c r="Z23" s="21"/>
      <c r="AA23" s="21"/>
      <c r="AB23" s="21"/>
      <c r="AC23" s="21"/>
      <c r="AF23" s="21"/>
      <c r="AG23" s="21"/>
      <c r="AJ23" s="66"/>
      <c r="AK23" s="66"/>
      <c r="AL23" s="66"/>
      <c r="AM23" s="66"/>
      <c r="AN23" s="66"/>
      <c r="AO23" s="66"/>
      <c r="AP23" s="66"/>
    </row>
    <row r="24" spans="1:42" x14ac:dyDescent="0.2">
      <c r="B24" t="s">
        <v>73</v>
      </c>
      <c r="F24" s="21"/>
      <c r="G24" s="21"/>
      <c r="H24" s="21"/>
      <c r="I24" s="21"/>
      <c r="J24" s="99" t="str">
        <f>IF('Exceptional Child Calc'!H22=0," ",'Exceptional Child Calc'!H22)</f>
        <v xml:space="preserve"> </v>
      </c>
      <c r="K24" s="99"/>
      <c r="O24" s="21"/>
      <c r="Q24" s="67"/>
      <c r="S24" s="3"/>
      <c r="T24" t="s">
        <v>73</v>
      </c>
      <c r="X24" s="21"/>
      <c r="Y24" s="21"/>
      <c r="Z24" s="21"/>
      <c r="AA24" s="21"/>
      <c r="AB24" s="99" t="str">
        <f>IF('Exceptional Child Calc'!H22=0," ",'Exceptional Child Calc'!H22)</f>
        <v xml:space="preserve"> </v>
      </c>
      <c r="AC24" s="99"/>
      <c r="AF24" s="21"/>
      <c r="AG24" s="21"/>
      <c r="AJ24" s="66"/>
      <c r="AK24" s="66"/>
      <c r="AL24" s="66"/>
      <c r="AM24" s="66"/>
      <c r="AN24" s="66"/>
      <c r="AO24" s="66"/>
      <c r="AP24" s="66"/>
    </row>
    <row r="25" spans="1:42" ht="9" customHeight="1" x14ac:dyDescent="0.2">
      <c r="F25" s="21"/>
      <c r="G25" s="21"/>
      <c r="H25" s="21"/>
      <c r="I25" s="21"/>
      <c r="J25" s="21"/>
      <c r="K25" s="21"/>
      <c r="O25" s="21"/>
      <c r="Q25" s="67"/>
      <c r="S25" s="3"/>
      <c r="X25" s="21"/>
      <c r="Y25" s="21"/>
      <c r="Z25" s="21"/>
      <c r="AA25" s="21"/>
      <c r="AB25" s="21"/>
      <c r="AC25" s="21"/>
      <c r="AF25" s="21"/>
      <c r="AG25" s="21"/>
      <c r="AJ25" s="66"/>
      <c r="AK25" s="66"/>
      <c r="AL25" s="66"/>
      <c r="AM25" s="66"/>
      <c r="AN25" s="66"/>
      <c r="AO25" s="66"/>
      <c r="AP25" s="66"/>
    </row>
    <row r="26" spans="1:42" x14ac:dyDescent="0.2">
      <c r="B26" t="s">
        <v>74</v>
      </c>
      <c r="F26" s="21"/>
      <c r="G26" s="21"/>
      <c r="H26" s="21"/>
      <c r="I26" s="21"/>
      <c r="J26" s="99" t="str">
        <f>IF('Exceptional Child Calc'!$H$43=0," ",'Exceptional Child Calc'!$H$43)</f>
        <v xml:space="preserve"> </v>
      </c>
      <c r="K26" s="99"/>
      <c r="O26" s="21"/>
      <c r="Q26" s="67"/>
      <c r="S26" s="3"/>
      <c r="T26" t="s">
        <v>74</v>
      </c>
      <c r="X26" s="21"/>
      <c r="Y26" s="21"/>
      <c r="Z26" s="21"/>
      <c r="AA26" s="21"/>
      <c r="AB26" s="99">
        <f>0</f>
        <v>0</v>
      </c>
      <c r="AC26" s="99"/>
      <c r="AF26" s="21"/>
      <c r="AG26" s="21"/>
      <c r="AJ26" s="66"/>
      <c r="AK26" s="66"/>
      <c r="AL26" s="66"/>
      <c r="AM26" s="66"/>
      <c r="AN26" s="66"/>
      <c r="AO26" s="66"/>
      <c r="AP26" s="66"/>
    </row>
    <row r="27" spans="1:42" ht="8.25" customHeight="1" x14ac:dyDescent="0.2">
      <c r="F27" s="21"/>
      <c r="G27" s="21"/>
      <c r="H27" s="21"/>
      <c r="I27" s="21"/>
      <c r="J27" s="21"/>
      <c r="K27" s="21"/>
      <c r="O27" s="21"/>
      <c r="Q27" s="67"/>
      <c r="S27" s="3"/>
      <c r="X27" s="21"/>
      <c r="Y27" s="21"/>
      <c r="Z27" s="21"/>
      <c r="AA27" s="21"/>
      <c r="AB27" s="21"/>
      <c r="AC27" s="21"/>
      <c r="AF27" s="21"/>
      <c r="AG27" s="21"/>
      <c r="AJ27" s="66"/>
      <c r="AK27" s="66"/>
      <c r="AL27" s="66"/>
      <c r="AM27" s="66"/>
      <c r="AN27" s="66"/>
      <c r="AO27" s="66"/>
      <c r="AP27" s="66"/>
    </row>
    <row r="28" spans="1:42" ht="6" customHeight="1" x14ac:dyDescent="0.2">
      <c r="F28" s="21"/>
      <c r="G28" s="21"/>
      <c r="H28" s="21"/>
      <c r="I28" s="21"/>
      <c r="J28" s="22"/>
      <c r="K28" s="22"/>
      <c r="O28" s="21"/>
      <c r="Q28" s="67"/>
      <c r="S28" s="3"/>
      <c r="X28" s="21"/>
      <c r="Y28" s="21"/>
      <c r="Z28" s="21"/>
      <c r="AA28" s="21"/>
      <c r="AB28" s="22"/>
      <c r="AC28" s="22"/>
      <c r="AF28" s="21"/>
      <c r="AG28" s="21"/>
      <c r="AJ28" s="66"/>
      <c r="AK28" s="66"/>
      <c r="AL28" s="66"/>
      <c r="AM28" s="66"/>
      <c r="AN28" s="66"/>
      <c r="AO28" s="66"/>
      <c r="AP28" s="66"/>
    </row>
    <row r="29" spans="1:42" ht="16.5" thickBot="1" x14ac:dyDescent="0.3">
      <c r="B29" s="1" t="s">
        <v>76</v>
      </c>
      <c r="F29" s="21"/>
      <c r="G29" s="21"/>
      <c r="H29" s="21"/>
      <c r="I29" s="21"/>
      <c r="J29" s="101">
        <f>SUM(J22:K27)</f>
        <v>0</v>
      </c>
      <c r="K29" s="101"/>
      <c r="L29" s="13" t="s">
        <v>42</v>
      </c>
      <c r="M29" s="9">
        <f>IF(SUM('Enrollment Input'!G15+'Enrollment Input'!G18+'Enrollment Input'!G19+'Enrollment Input'!G21)=0,0,IF(J29&gt;=14,LOOKUP(J29,criteria!$U$3:$U$10,criteria!$V$3:$V$10),0))</f>
        <v>0</v>
      </c>
      <c r="N29" s="11" t="s">
        <v>14</v>
      </c>
      <c r="O29" s="62">
        <f>IF(J29=0,0,IF(Q29&lt;LOOKUP(J29,criteria!$U$3:$U$10,criteria!$W$3:$W$10),LOOKUP(J29,criteria!$U$3:$U$10,criteria!$W$3:$W$10),Q29))</f>
        <v>0</v>
      </c>
      <c r="P29" t="str">
        <f>IF(O29=0," ",IF(O29=Q29," ","Minimum"))</f>
        <v xml:space="preserve"> </v>
      </c>
      <c r="Q29" s="67">
        <f>ROUND(IF(SUM('Enrollment Input'!G15+'Enrollment Input'!G18+'Enrollment Input'!G19+'Enrollment Input'!G21)=0,0,IF(M29=0,0,(J29/M29))),2)</f>
        <v>0</v>
      </c>
      <c r="S29" s="3"/>
      <c r="T29" s="1" t="s">
        <v>76</v>
      </c>
      <c r="X29" s="21"/>
      <c r="Y29" s="21"/>
      <c r="Z29" s="21"/>
      <c r="AA29" s="21"/>
      <c r="AB29" s="101">
        <f>SUM(AB22:AC27)</f>
        <v>0</v>
      </c>
      <c r="AC29" s="101"/>
      <c r="AD29" s="13" t="s">
        <v>42</v>
      </c>
      <c r="AE29" s="9">
        <f>IF(SUM('Enrollment Input'!G15+'Enrollment Input'!G18+'Enrollment Input'!G19+'Enrollment Input'!G21)=0,0,IF(AB29&gt;=14,LOOKUP(AB29,criteria!$U$3:$U$10,criteria!$V$3:$V$10),0))</f>
        <v>0</v>
      </c>
      <c r="AF29" s="22" t="s">
        <v>14</v>
      </c>
      <c r="AG29" s="62">
        <f>IF(AB29=0,0,IF(AI29&lt;LOOKUP(AB29,criteria!$U$3:$U$10,criteria!$W$3:$W$10),LOOKUP(AB29,criteria!$U$3:$U$10,criteria!$W$3:$W$10),AI29))</f>
        <v>0</v>
      </c>
      <c r="AH29" t="str">
        <f>IF(AG29=0," ",IF(AG29=AI29," ","Minimum"))</f>
        <v xml:space="preserve"> </v>
      </c>
      <c r="AI29" s="63">
        <f>ROUND(IF(SUM('Enrollment Input'!E15+'Enrollment Input'!E18+'Enrollment Input'!E19+'Enrollment Input'!E21)=0,0,IF(AE29=0,0,(AB29/AE29))),2)</f>
        <v>0</v>
      </c>
      <c r="AJ29" s="66"/>
      <c r="AK29" s="66"/>
      <c r="AL29" s="66"/>
      <c r="AM29" s="66"/>
      <c r="AN29" s="66"/>
      <c r="AO29" s="66"/>
      <c r="AP29" s="66"/>
    </row>
    <row r="30" spans="1:42" ht="21" customHeight="1" thickTop="1" x14ac:dyDescent="0.25">
      <c r="B30" s="23"/>
      <c r="C30" s="23"/>
      <c r="D30" s="23"/>
      <c r="E30" s="23"/>
      <c r="F30" s="23"/>
      <c r="G30" s="23"/>
      <c r="H30" s="23"/>
      <c r="J30" s="8"/>
      <c r="N30" s="11"/>
      <c r="O30" s="22"/>
      <c r="P30" s="1"/>
      <c r="Q30" s="67"/>
      <c r="S30" s="3"/>
      <c r="T30" s="1"/>
      <c r="AB30" s="22"/>
      <c r="AC30" s="22"/>
      <c r="AD30" s="13"/>
      <c r="AE30" s="12"/>
      <c r="AF30" s="22"/>
      <c r="AG30" s="22"/>
      <c r="AJ30" s="66"/>
      <c r="AK30" s="66"/>
      <c r="AL30" s="66"/>
      <c r="AM30" s="66"/>
      <c r="AN30" s="66"/>
      <c r="AO30" s="66"/>
      <c r="AP30" s="66"/>
    </row>
    <row r="31" spans="1:42" ht="19.5" customHeight="1" x14ac:dyDescent="0.25">
      <c r="A31" s="4" t="s">
        <v>85</v>
      </c>
      <c r="O31" s="21"/>
      <c r="Q31" s="67"/>
      <c r="S31" s="4" t="s">
        <v>85</v>
      </c>
      <c r="AF31" s="21"/>
      <c r="AG31" s="21"/>
      <c r="AJ31" s="66"/>
      <c r="AK31" s="66"/>
      <c r="AL31" s="66"/>
      <c r="AM31" s="66"/>
      <c r="AN31" s="66"/>
      <c r="AO31" s="66"/>
      <c r="AP31" s="66"/>
    </row>
    <row r="32" spans="1:42" ht="15.75" x14ac:dyDescent="0.25">
      <c r="B32" s="98" t="str">
        <f>IF('Enrollment Input'!G25=0," ","Alternative Secondary High School")</f>
        <v xml:space="preserve"> </v>
      </c>
      <c r="C32" s="98"/>
      <c r="D32" s="98"/>
      <c r="E32" s="98"/>
      <c r="F32" s="98"/>
      <c r="G32" s="98"/>
      <c r="J32" s="99">
        <f>'Enrollment Input'!G25</f>
        <v>0</v>
      </c>
      <c r="K32" s="99"/>
      <c r="L32" s="13" t="s">
        <v>42</v>
      </c>
      <c r="M32" s="9">
        <f>IF(J32=0,0,IF(Q32&lt;1,IF(M18&lt;12,12,M18),12))</f>
        <v>0</v>
      </c>
      <c r="N32" s="11" t="s">
        <v>14</v>
      </c>
      <c r="O32" s="62">
        <f>ROUND(IF(J32=0,0,J32/M32),2)</f>
        <v>0</v>
      </c>
      <c r="P32" s="5"/>
      <c r="Q32" s="67">
        <f>ROUND(IF(J32=0,0,J32/12),2)</f>
        <v>0</v>
      </c>
      <c r="R32" s="63"/>
      <c r="S32" s="3"/>
      <c r="T32" s="61" t="str">
        <f>IF('Enrollment Input'!G25=0," ","Alternative Secondary High School")</f>
        <v xml:space="preserve"> </v>
      </c>
      <c r="U32" s="61"/>
      <c r="V32" s="61"/>
      <c r="W32" s="61"/>
      <c r="X32" s="61"/>
      <c r="Y32" s="61"/>
      <c r="AB32" s="99">
        <f>'Enrollment Input'!G25</f>
        <v>0</v>
      </c>
      <c r="AC32" s="99"/>
      <c r="AD32" s="13" t="s">
        <v>42</v>
      </c>
      <c r="AE32" s="9">
        <f>IF(AB32=0,0,IF(AI32&lt;1,IF(AE18&lt;12,12,AE18),12))</f>
        <v>0</v>
      </c>
      <c r="AF32" s="22" t="s">
        <v>14</v>
      </c>
      <c r="AG32" s="62">
        <f>ROUND(IF(AB32=0,0,AB32/AE32),2)</f>
        <v>0</v>
      </c>
      <c r="AH32" s="5"/>
      <c r="AI32" s="63">
        <f>ROUND(IF(AB32=0,0,AB32/12),2)</f>
        <v>0</v>
      </c>
      <c r="AJ32" s="66"/>
      <c r="AK32" s="66"/>
      <c r="AL32" s="66"/>
      <c r="AM32" s="66"/>
      <c r="AN32" s="66"/>
      <c r="AO32" s="66"/>
      <c r="AP32" s="66"/>
    </row>
    <row r="33" spans="1:42" ht="11.25" customHeight="1" x14ac:dyDescent="0.2">
      <c r="J33" s="21"/>
      <c r="K33" s="21"/>
      <c r="O33" s="21"/>
      <c r="Q33" s="67"/>
      <c r="S33" s="3"/>
      <c r="AB33" s="21"/>
      <c r="AC33" s="21"/>
      <c r="AF33" s="21"/>
      <c r="AG33" s="21"/>
      <c r="AJ33" s="66"/>
      <c r="AK33" s="66"/>
      <c r="AL33" s="66"/>
      <c r="AM33" s="66"/>
      <c r="AN33" s="66"/>
      <c r="AO33" s="66"/>
      <c r="AP33" s="66"/>
    </row>
    <row r="34" spans="1:42" ht="11.25" customHeight="1" x14ac:dyDescent="0.25">
      <c r="B34" s="98" t="str">
        <f>IF('Enrollment Input'!E27=0," ","Summer Alternative Secondary High School")</f>
        <v xml:space="preserve"> </v>
      </c>
      <c r="C34" s="98"/>
      <c r="D34" s="98"/>
      <c r="E34" s="98"/>
      <c r="F34" s="98"/>
      <c r="G34" s="98"/>
      <c r="J34" s="99">
        <f>'Enrollment Input'!E27</f>
        <v>0</v>
      </c>
      <c r="K34" s="99"/>
      <c r="L34" s="13" t="s">
        <v>42</v>
      </c>
      <c r="M34" s="9">
        <f>IF(J34=0,0,40)</f>
        <v>0</v>
      </c>
      <c r="N34" s="11" t="s">
        <v>14</v>
      </c>
      <c r="O34" s="62">
        <f>ROUND(IF(J34=0,0,J34/M34),2)</f>
        <v>0</v>
      </c>
      <c r="P34" s="5"/>
      <c r="Q34" s="67"/>
      <c r="S34" s="3"/>
      <c r="T34" s="98" t="str">
        <f>IF('Enrollment Input'!E27=0," ","Summer Alternative Secondary High School")</f>
        <v xml:space="preserve"> </v>
      </c>
      <c r="U34" s="98"/>
      <c r="V34" s="98"/>
      <c r="W34" s="98"/>
      <c r="X34" s="98"/>
      <c r="Y34" s="98"/>
      <c r="AB34" s="99">
        <f>'Enrollment Input'!E27</f>
        <v>0</v>
      </c>
      <c r="AC34" s="99"/>
      <c r="AD34" s="13" t="s">
        <v>42</v>
      </c>
      <c r="AE34" s="9">
        <f>IF(AB34=0,0,40)</f>
        <v>0</v>
      </c>
      <c r="AF34" s="22" t="s">
        <v>14</v>
      </c>
      <c r="AG34" s="62">
        <f>ROUND(IF(AB34=0,0,AB34/AE34),2)</f>
        <v>0</v>
      </c>
      <c r="AH34" s="5"/>
      <c r="AJ34" s="66"/>
      <c r="AK34" s="66"/>
      <c r="AL34" s="66"/>
      <c r="AM34" s="66"/>
      <c r="AN34" s="66"/>
      <c r="AO34" s="66"/>
      <c r="AP34" s="66"/>
    </row>
    <row r="35" spans="1:42" ht="13.5" customHeight="1" x14ac:dyDescent="0.25">
      <c r="J35" s="12"/>
      <c r="K35" s="12"/>
      <c r="L35" s="13"/>
      <c r="M35" s="12"/>
      <c r="N35" s="11"/>
      <c r="O35" s="12"/>
      <c r="P35" s="1"/>
      <c r="Q35" s="67"/>
      <c r="S35" s="3"/>
      <c r="AB35" s="12"/>
      <c r="AC35" s="12"/>
      <c r="AD35" s="13"/>
      <c r="AE35" s="12"/>
      <c r="AF35" s="22"/>
      <c r="AG35" s="22"/>
      <c r="AH35" s="1"/>
      <c r="AJ35" s="66"/>
      <c r="AK35" s="66"/>
      <c r="AL35" s="66"/>
      <c r="AM35" s="66"/>
      <c r="AN35" s="66"/>
      <c r="AO35" s="66"/>
      <c r="AP35" s="66"/>
    </row>
    <row r="36" spans="1:42" ht="18.75" customHeight="1" thickBot="1" x14ac:dyDescent="0.25">
      <c r="A36" s="5"/>
      <c r="B36" s="8" t="s">
        <v>105</v>
      </c>
      <c r="C36" s="1"/>
      <c r="D36" s="1"/>
      <c r="E36" s="1"/>
      <c r="F36" s="1"/>
      <c r="G36" s="1"/>
      <c r="H36" s="1"/>
      <c r="I36" s="1"/>
      <c r="J36" s="1"/>
      <c r="K36" s="1"/>
      <c r="M36" s="12" t="s">
        <v>14</v>
      </c>
      <c r="N36" s="105">
        <f>ROUND(IF(SUM(O7:O34)=0,0,SUM(O7:O34)),2)</f>
        <v>0</v>
      </c>
      <c r="O36" s="105"/>
      <c r="Q36" s="67"/>
      <c r="S36" s="5"/>
      <c r="T36" s="8" t="s">
        <v>105</v>
      </c>
      <c r="U36" s="1"/>
      <c r="V36" s="1"/>
      <c r="W36" s="1"/>
      <c r="X36" s="1"/>
      <c r="Y36" s="1"/>
      <c r="Z36" s="1"/>
      <c r="AA36" s="1"/>
      <c r="AB36" s="1"/>
      <c r="AC36" s="1"/>
      <c r="AE36" s="12" t="s">
        <v>14</v>
      </c>
      <c r="AF36" s="105">
        <f>ROUND(IF(SUM(AG7:AG34)=0,0,SUM(AG7:AG34)),2)</f>
        <v>0</v>
      </c>
      <c r="AG36" s="105"/>
      <c r="AJ36" s="66"/>
      <c r="AK36" s="66"/>
      <c r="AL36" s="66"/>
      <c r="AM36" s="66"/>
      <c r="AN36" s="66"/>
      <c r="AO36" s="66"/>
      <c r="AP36" s="66"/>
    </row>
    <row r="37" spans="1:42" ht="13.5" thickTop="1" x14ac:dyDescent="0.2">
      <c r="M37" s="103" t="str">
        <f>IF(N36=0," ",IF(N36&lt;AF36,"Do Not Use this Calculation","Use this Calculation"))</f>
        <v xml:space="preserve"> </v>
      </c>
      <c r="N37" s="103"/>
      <c r="O37" s="103"/>
      <c r="P37" s="103"/>
      <c r="Q37" s="67"/>
      <c r="S37" s="3"/>
      <c r="AE37" s="103" t="str">
        <f>IF(AF36=0," ",IF(AF36&lt;N36,"Do Not Use this Calculation","Use this Calculation"))</f>
        <v xml:space="preserve"> </v>
      </c>
      <c r="AF37" s="104"/>
      <c r="AG37" s="104"/>
      <c r="AH37" s="104"/>
    </row>
    <row r="38" spans="1:42" x14ac:dyDescent="0.2">
      <c r="Q38" s="66"/>
    </row>
    <row r="39" spans="1:42" hidden="1" x14ac:dyDescent="0.2">
      <c r="Q39" s="66"/>
    </row>
    <row r="40" spans="1:42" hidden="1" x14ac:dyDescent="0.2">
      <c r="Q40" s="66"/>
    </row>
    <row r="41" spans="1:42" hidden="1" x14ac:dyDescent="0.2">
      <c r="Q41" s="66"/>
    </row>
    <row r="42" spans="1:42" hidden="1" x14ac:dyDescent="0.2">
      <c r="Q42" s="66"/>
    </row>
    <row r="43" spans="1:42" hidden="1" x14ac:dyDescent="0.2">
      <c r="Q43" s="66"/>
    </row>
    <row r="44" spans="1:42" hidden="1" x14ac:dyDescent="0.2">
      <c r="Q44" s="66"/>
    </row>
  </sheetData>
  <sheetProtection algorithmName="SHA-512" hashValue="MndIeUC3Uw6NKRxoITRTHRP4BIJVL7Bgs3OY26qz3MWXt5ITx4vOj5aikpJcKVjCx7i2ZE7o8f9G39Iyecd57g==" saltValue="ny33f9/eq2NJbenRTsh6yQ==" spinCount="100000" sheet="1" objects="1" scenarios="1"/>
  <mergeCells count="37">
    <mergeCell ref="N36:O36"/>
    <mergeCell ref="AF36:AG36"/>
    <mergeCell ref="M37:P37"/>
    <mergeCell ref="AE37:AH37"/>
    <mergeCell ref="J29:K29"/>
    <mergeCell ref="AB29:AC29"/>
    <mergeCell ref="B32:G32"/>
    <mergeCell ref="J32:K32"/>
    <mergeCell ref="AB32:AC32"/>
    <mergeCell ref="B34:G34"/>
    <mergeCell ref="J34:K34"/>
    <mergeCell ref="T34:Y34"/>
    <mergeCell ref="AB34:AC34"/>
    <mergeCell ref="J22:K22"/>
    <mergeCell ref="AB22:AC22"/>
    <mergeCell ref="J24:K24"/>
    <mergeCell ref="AB24:AC24"/>
    <mergeCell ref="J26:K26"/>
    <mergeCell ref="AB26:AC26"/>
    <mergeCell ref="J13:K13"/>
    <mergeCell ref="AB13:AC13"/>
    <mergeCell ref="J16:K16"/>
    <mergeCell ref="AB16:AC16"/>
    <mergeCell ref="J18:K18"/>
    <mergeCell ref="AB18:AC18"/>
    <mergeCell ref="J5:K5"/>
    <mergeCell ref="AB5:AC5"/>
    <mergeCell ref="J7:K7"/>
    <mergeCell ref="AB7:AC7"/>
    <mergeCell ref="J11:K11"/>
    <mergeCell ref="AB11:AC11"/>
    <mergeCell ref="A1:O1"/>
    <mergeCell ref="S1:AG1"/>
    <mergeCell ref="A2:O2"/>
    <mergeCell ref="S2:AG2"/>
    <mergeCell ref="A3:O3"/>
    <mergeCell ref="S3:AG3"/>
  </mergeCells>
  <pageMargins left="0.5" right="0.5" top="0.5" bottom="0.5" header="0.25" footer="0.25"/>
  <pageSetup scale="81" orientation="portrait" r:id="rId1"/>
  <headerFooter alignWithMargins="0">
    <oddFooter>&amp;L&amp;F</oddFooter>
  </headerFooter>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8"/>
  <sheetViews>
    <sheetView showGridLines="0" zoomScaleNormal="100" workbookViewId="0"/>
  </sheetViews>
  <sheetFormatPr defaultColWidth="0" defaultRowHeight="12.75" zeroHeight="1" x14ac:dyDescent="0.2"/>
  <cols>
    <col min="1" max="1" width="6" style="3" customWidth="1"/>
    <col min="2" max="5" width="9.140625" customWidth="1"/>
    <col min="6" max="6" width="17.140625" customWidth="1"/>
    <col min="7" max="7" width="2.7109375" style="3" customWidth="1"/>
    <col min="8" max="9" width="9.140625" customWidth="1"/>
    <col min="10" max="10" width="6.5703125" customWidth="1"/>
    <col min="11" max="11" width="10.28515625" bestFit="1" customWidth="1"/>
    <col min="12" max="12" width="9.140625" customWidth="1"/>
    <col min="13" max="16384" width="9.140625" hidden="1"/>
  </cols>
  <sheetData>
    <row r="1" spans="1:11" ht="15.75" x14ac:dyDescent="0.25">
      <c r="I1" s="2"/>
      <c r="K1" s="2"/>
    </row>
    <row r="2" spans="1:11" x14ac:dyDescent="0.2"/>
    <row r="3" spans="1:11" ht="15.75" x14ac:dyDescent="0.2">
      <c r="A3" s="100" t="s">
        <v>80</v>
      </c>
      <c r="B3" s="100"/>
      <c r="C3" s="100"/>
      <c r="D3" s="100"/>
      <c r="E3" s="100"/>
      <c r="F3" s="100"/>
      <c r="G3" s="100"/>
      <c r="H3" s="100"/>
      <c r="I3" s="100"/>
      <c r="J3" s="106"/>
      <c r="K3" s="106"/>
    </row>
    <row r="4" spans="1:11" x14ac:dyDescent="0.2"/>
    <row r="5" spans="1:11" ht="15.75" x14ac:dyDescent="0.2">
      <c r="A5" s="100" t="s">
        <v>0</v>
      </c>
      <c r="B5" s="100"/>
      <c r="C5" s="100"/>
      <c r="D5" s="100"/>
      <c r="E5" s="100"/>
      <c r="F5" s="100"/>
      <c r="G5" s="100"/>
      <c r="H5" s="100"/>
      <c r="I5" s="100"/>
      <c r="J5" s="107"/>
      <c r="K5" s="106"/>
    </row>
    <row r="6" spans="1:11" x14ac:dyDescent="0.2">
      <c r="K6" t="s">
        <v>15</v>
      </c>
    </row>
    <row r="7" spans="1:11" x14ac:dyDescent="0.2">
      <c r="K7" t="s">
        <v>16</v>
      </c>
    </row>
    <row r="8" spans="1:11" ht="15.75" x14ac:dyDescent="0.25">
      <c r="A8" s="4" t="s">
        <v>1</v>
      </c>
    </row>
    <row r="9" spans="1:11" ht="8.25" customHeight="1" x14ac:dyDescent="0.25">
      <c r="A9" s="4"/>
    </row>
    <row r="10" spans="1:11" ht="15" x14ac:dyDescent="0.2">
      <c r="A10" s="5" t="s">
        <v>2</v>
      </c>
      <c r="B10" s="1" t="s">
        <v>81</v>
      </c>
      <c r="C10" s="1"/>
      <c r="D10" s="1"/>
      <c r="E10" s="1"/>
      <c r="F10" s="1"/>
      <c r="G10" s="5" t="s">
        <v>14</v>
      </c>
      <c r="H10" s="108">
        <f>IF('Enrollment Input'!C15+'Enrollment Input'!C18=0,0,SUM('Enrollment Input'!C15+'Enrollment Input'!C18))</f>
        <v>0</v>
      </c>
      <c r="I10" s="108"/>
      <c r="J10" s="1"/>
      <c r="K10" s="15">
        <f>IF(H10=0,0,(H10/($H$10+$H$13)))</f>
        <v>0</v>
      </c>
    </row>
    <row r="11" spans="1:11" ht="7.5" customHeight="1" x14ac:dyDescent="0.2">
      <c r="H11" s="16"/>
      <c r="I11" s="16"/>
    </row>
    <row r="12" spans="1:11" s="1" customFormat="1" ht="15" x14ac:dyDescent="0.2">
      <c r="A12" s="5" t="s">
        <v>3</v>
      </c>
      <c r="B12" s="1" t="s">
        <v>82</v>
      </c>
      <c r="G12" s="5"/>
      <c r="H12" s="17"/>
      <c r="I12" s="17"/>
    </row>
    <row r="13" spans="1:11" ht="15" x14ac:dyDescent="0.2">
      <c r="B13" s="6" t="s">
        <v>4</v>
      </c>
      <c r="G13" s="3" t="s">
        <v>14</v>
      </c>
      <c r="H13" s="108">
        <f>IF('Enrollment Input'!C19=0,0,SUM('Enrollment Input'!C19))</f>
        <v>0</v>
      </c>
      <c r="I13" s="108"/>
      <c r="K13" s="15">
        <f>IF(H13=0,0,(H13/($H$10+$H$13)))</f>
        <v>0</v>
      </c>
    </row>
    <row r="14" spans="1:11" ht="6.75" customHeight="1" x14ac:dyDescent="0.2">
      <c r="H14" s="16"/>
      <c r="I14" s="16"/>
    </row>
    <row r="15" spans="1:11" s="1" customFormat="1" ht="15" x14ac:dyDescent="0.2">
      <c r="A15" s="5" t="s">
        <v>5</v>
      </c>
      <c r="B15" s="1" t="s">
        <v>6</v>
      </c>
      <c r="G15" s="5"/>
      <c r="H15" s="17"/>
      <c r="I15" s="17"/>
    </row>
    <row r="16" spans="1:11" s="1" customFormat="1" ht="15" x14ac:dyDescent="0.2">
      <c r="A16" s="5"/>
      <c r="B16" s="1" t="s">
        <v>7</v>
      </c>
      <c r="G16" s="5" t="s">
        <v>14</v>
      </c>
      <c r="H16" s="109">
        <f>IF('Enrollment Input'!C35=0,0,SUM('Enrollment Input'!C35))</f>
        <v>0</v>
      </c>
      <c r="I16" s="109"/>
    </row>
    <row r="17" spans="1:9" ht="6.75" customHeight="1" x14ac:dyDescent="0.2">
      <c r="H17" s="16"/>
      <c r="I17" s="16"/>
    </row>
    <row r="18" spans="1:9" s="1" customFormat="1" ht="15" x14ac:dyDescent="0.2">
      <c r="A18" s="5" t="s">
        <v>8</v>
      </c>
      <c r="B18" s="1" t="s">
        <v>9</v>
      </c>
      <c r="G18" s="5" t="s">
        <v>14</v>
      </c>
      <c r="H18" s="108">
        <f>H10+H13-H16</f>
        <v>0</v>
      </c>
      <c r="I18" s="108"/>
    </row>
    <row r="19" spans="1:9" ht="6.75" customHeight="1" x14ac:dyDescent="0.2">
      <c r="H19" s="21"/>
      <c r="I19" s="21"/>
    </row>
    <row r="20" spans="1:9" s="1" customFormat="1" ht="15" x14ac:dyDescent="0.2">
      <c r="A20" s="5" t="s">
        <v>10</v>
      </c>
      <c r="B20" s="1" t="s">
        <v>11</v>
      </c>
      <c r="G20" s="5" t="s">
        <v>14</v>
      </c>
      <c r="H20" s="108">
        <f>H18*0.06</f>
        <v>0</v>
      </c>
      <c r="I20" s="108"/>
    </row>
    <row r="21" spans="1:9" ht="6.75" customHeight="1" x14ac:dyDescent="0.2">
      <c r="H21" s="21"/>
      <c r="I21" s="21"/>
    </row>
    <row r="22" spans="1:9" s="1" customFormat="1" ht="15" x14ac:dyDescent="0.2">
      <c r="A22" s="5" t="s">
        <v>12</v>
      </c>
      <c r="B22" s="1" t="s">
        <v>43</v>
      </c>
      <c r="G22" s="5" t="s">
        <v>14</v>
      </c>
      <c r="H22" s="108">
        <f>H16+H20</f>
        <v>0</v>
      </c>
      <c r="I22" s="108"/>
    </row>
    <row r="23" spans="1:9" s="1" customFormat="1" ht="15" x14ac:dyDescent="0.2">
      <c r="A23" s="5"/>
      <c r="B23" s="1" t="s">
        <v>13</v>
      </c>
      <c r="G23" s="5"/>
      <c r="H23" s="17"/>
      <c r="I23" s="17"/>
    </row>
    <row r="24" spans="1:9" s="1" customFormat="1" ht="15" x14ac:dyDescent="0.2">
      <c r="A24" s="5"/>
      <c r="G24" s="5"/>
      <c r="H24" s="17"/>
      <c r="I24" s="17"/>
    </row>
    <row r="25" spans="1:9" s="1" customFormat="1" ht="15" x14ac:dyDescent="0.2">
      <c r="A25" s="5" t="s">
        <v>52</v>
      </c>
      <c r="B25" s="18">
        <f>K10</f>
        <v>0</v>
      </c>
      <c r="C25" s="19" t="s">
        <v>50</v>
      </c>
      <c r="D25" s="20">
        <f>H22</f>
        <v>0</v>
      </c>
      <c r="E25" s="1" t="s">
        <v>51</v>
      </c>
      <c r="G25" s="5" t="s">
        <v>14</v>
      </c>
      <c r="H25" s="108">
        <f>ROUND(SUM(B25*D25),2)</f>
        <v>0</v>
      </c>
      <c r="I25" s="108"/>
    </row>
    <row r="26" spans="1:9" s="1" customFormat="1" ht="15" x14ac:dyDescent="0.2">
      <c r="A26" s="5" t="s">
        <v>53</v>
      </c>
      <c r="B26" s="18">
        <f>K13</f>
        <v>0</v>
      </c>
      <c r="C26" s="19" t="s">
        <v>50</v>
      </c>
      <c r="D26" s="20">
        <f>H22</f>
        <v>0</v>
      </c>
      <c r="E26" s="1" t="s">
        <v>49</v>
      </c>
      <c r="G26" s="5" t="s">
        <v>14</v>
      </c>
      <c r="H26" s="110">
        <f>ROUND(SUM(H22-H25),2)</f>
        <v>0</v>
      </c>
      <c r="I26" s="110"/>
    </row>
    <row r="27" spans="1:9" s="1" customFormat="1" ht="15" x14ac:dyDescent="0.2">
      <c r="A27" s="5"/>
      <c r="G27" s="5"/>
      <c r="H27" s="17"/>
      <c r="I27" s="17"/>
    </row>
    <row r="28" spans="1:9" ht="15.75" x14ac:dyDescent="0.25">
      <c r="A28" s="4" t="s">
        <v>17</v>
      </c>
      <c r="H28" s="16"/>
      <c r="I28" s="16"/>
    </row>
    <row r="29" spans="1:9" ht="6.75" customHeight="1" x14ac:dyDescent="0.2">
      <c r="H29" s="16"/>
      <c r="I29" s="16"/>
    </row>
    <row r="30" spans="1:9" s="1" customFormat="1" ht="15" x14ac:dyDescent="0.2">
      <c r="A30" s="5" t="s">
        <v>18</v>
      </c>
      <c r="B30" s="1" t="s">
        <v>83</v>
      </c>
      <c r="G30" s="5"/>
      <c r="H30" s="17"/>
      <c r="I30" s="17"/>
    </row>
    <row r="31" spans="1:9" s="1" customFormat="1" ht="15" x14ac:dyDescent="0.2">
      <c r="A31" s="5"/>
      <c r="B31" s="1" t="s">
        <v>19</v>
      </c>
      <c r="G31" s="5" t="s">
        <v>14</v>
      </c>
      <c r="H31" s="108">
        <f>IF('Enrollment Input'!$C$21=0,0,'Enrollment Input'!C21)</f>
        <v>0</v>
      </c>
      <c r="I31" s="108"/>
    </row>
    <row r="32" spans="1:9" s="1" customFormat="1" ht="15" x14ac:dyDescent="0.2">
      <c r="A32" s="5"/>
      <c r="B32" s="6" t="s">
        <v>20</v>
      </c>
      <c r="G32" s="5"/>
      <c r="H32" s="17"/>
      <c r="I32" s="17"/>
    </row>
    <row r="33" spans="1:9" s="1" customFormat="1" ht="15" x14ac:dyDescent="0.2">
      <c r="A33" s="5"/>
      <c r="B33" s="6" t="s">
        <v>21</v>
      </c>
      <c r="G33" s="5"/>
      <c r="H33" s="17"/>
      <c r="I33" s="17"/>
    </row>
    <row r="34" spans="1:9" ht="6.75" customHeight="1" x14ac:dyDescent="0.2">
      <c r="H34" s="16"/>
      <c r="I34" s="16"/>
    </row>
    <row r="35" spans="1:9" s="1" customFormat="1" ht="15" x14ac:dyDescent="0.2">
      <c r="A35" s="5" t="s">
        <v>22</v>
      </c>
      <c r="B35" s="1" t="s">
        <v>122</v>
      </c>
      <c r="G35" s="5"/>
      <c r="H35" s="17"/>
      <c r="I35" s="17"/>
    </row>
    <row r="36" spans="1:9" s="1" customFormat="1" ht="15" x14ac:dyDescent="0.2">
      <c r="A36" s="5"/>
      <c r="B36" s="1" t="s">
        <v>44</v>
      </c>
      <c r="G36" s="5"/>
      <c r="H36" s="17"/>
      <c r="I36" s="17"/>
    </row>
    <row r="37" spans="1:9" s="1" customFormat="1" ht="15" x14ac:dyDescent="0.2">
      <c r="A37" s="5"/>
      <c r="B37" s="6" t="s">
        <v>23</v>
      </c>
      <c r="G37" s="5" t="s">
        <v>14</v>
      </c>
      <c r="H37" s="108">
        <f>IF('Enrollment Input'!C36=0,0,SUM('Enrollment Input'!C36))</f>
        <v>0</v>
      </c>
      <c r="I37" s="108"/>
    </row>
    <row r="38" spans="1:9" ht="6.75" customHeight="1" x14ac:dyDescent="0.2">
      <c r="H38" s="21"/>
      <c r="I38" s="21"/>
    </row>
    <row r="39" spans="1:9" s="1" customFormat="1" ht="15" x14ac:dyDescent="0.2">
      <c r="A39" s="5" t="s">
        <v>24</v>
      </c>
      <c r="B39" s="1" t="s">
        <v>25</v>
      </c>
      <c r="G39" s="5" t="s">
        <v>14</v>
      </c>
      <c r="H39" s="108">
        <f>IF('Enrollment Input'!$C$21=0,0,SUM(H31-H37))</f>
        <v>0</v>
      </c>
      <c r="I39" s="108"/>
    </row>
    <row r="40" spans="1:9" ht="6.75" customHeight="1" x14ac:dyDescent="0.2">
      <c r="H40" s="21"/>
      <c r="I40" s="21"/>
    </row>
    <row r="41" spans="1:9" s="1" customFormat="1" ht="15" x14ac:dyDescent="0.2">
      <c r="A41" s="5" t="s">
        <v>26</v>
      </c>
      <c r="B41" s="1" t="s">
        <v>27</v>
      </c>
      <c r="G41" s="5" t="s">
        <v>14</v>
      </c>
      <c r="H41" s="108">
        <f>IF('Enrollment Input'!$C$21=0,0,H39*0.055)</f>
        <v>0</v>
      </c>
      <c r="I41" s="108"/>
    </row>
    <row r="42" spans="1:9" ht="6.75" customHeight="1" x14ac:dyDescent="0.2">
      <c r="H42" s="21"/>
      <c r="I42" s="21"/>
    </row>
    <row r="43" spans="1:9" s="1" customFormat="1" ht="15" x14ac:dyDescent="0.2">
      <c r="A43" s="5" t="s">
        <v>28</v>
      </c>
      <c r="B43" s="1" t="s">
        <v>29</v>
      </c>
      <c r="G43" s="5" t="s">
        <v>14</v>
      </c>
      <c r="H43" s="108">
        <f>ROUND(IF('Enrollment Input'!$C$21=0,0,SUM(H37+H41)),2)</f>
        <v>0</v>
      </c>
      <c r="I43" s="108"/>
    </row>
    <row r="44" spans="1:9" s="1" customFormat="1" ht="15" x14ac:dyDescent="0.2">
      <c r="A44" s="5"/>
      <c r="B44" s="1" t="s">
        <v>30</v>
      </c>
      <c r="G44" s="5"/>
    </row>
    <row r="45" spans="1:9" x14ac:dyDescent="0.2"/>
    <row r="46" spans="1:9" ht="15.75" x14ac:dyDescent="0.25">
      <c r="A46" s="4" t="s">
        <v>31</v>
      </c>
    </row>
    <row r="47" spans="1:9" ht="6.75" customHeight="1" x14ac:dyDescent="0.2"/>
    <row r="48" spans="1:9" s="1" customFormat="1" ht="15" x14ac:dyDescent="0.2">
      <c r="A48" s="5" t="s">
        <v>32</v>
      </c>
      <c r="B48" s="1" t="s">
        <v>84</v>
      </c>
      <c r="G48" s="5"/>
    </row>
    <row r="49" spans="1:9" s="1" customFormat="1" ht="15" x14ac:dyDescent="0.2">
      <c r="A49" s="5"/>
      <c r="B49" s="1" t="s">
        <v>45</v>
      </c>
      <c r="G49" s="5"/>
    </row>
    <row r="50" spans="1:9" s="1" customFormat="1" ht="15" x14ac:dyDescent="0.2">
      <c r="A50" s="5"/>
      <c r="B50" s="1" t="s">
        <v>77</v>
      </c>
      <c r="G50" s="5"/>
    </row>
    <row r="51" spans="1:9" s="1" customFormat="1" ht="15" x14ac:dyDescent="0.2">
      <c r="A51" s="5"/>
      <c r="B51" s="1" t="s">
        <v>46</v>
      </c>
      <c r="G51" s="5"/>
    </row>
    <row r="52" spans="1:9" s="1" customFormat="1" ht="15" x14ac:dyDescent="0.2">
      <c r="A52" s="5"/>
      <c r="B52" s="1" t="s">
        <v>33</v>
      </c>
      <c r="G52" s="5"/>
    </row>
    <row r="53" spans="1:9" s="1" customFormat="1" ht="15" x14ac:dyDescent="0.2">
      <c r="A53" s="5"/>
      <c r="B53" s="1" t="s">
        <v>34</v>
      </c>
      <c r="G53" s="5"/>
    </row>
    <row r="54" spans="1:9" ht="6.75" customHeight="1" x14ac:dyDescent="0.2"/>
    <row r="55" spans="1:9" s="1" customFormat="1" ht="15" x14ac:dyDescent="0.2">
      <c r="A55" s="5"/>
      <c r="B55" s="1" t="s">
        <v>35</v>
      </c>
      <c r="G55" s="5" t="s">
        <v>14</v>
      </c>
      <c r="H55" s="109">
        <f>IF('Enrollment Input'!$C$30+'Enrollment Input'!$C$32=0,0,IF('Enrollment Input'!C32&gt;16,('Enrollment Input'!C30*16)/16,SUM(('Enrollment Input'!C30*'Enrollment Input'!C32)/16)))</f>
        <v>0</v>
      </c>
      <c r="I55" s="109"/>
    </row>
    <row r="56" spans="1:9" s="1" customFormat="1" ht="15" x14ac:dyDescent="0.2">
      <c r="A56" s="5"/>
      <c r="B56" s="1" t="s">
        <v>36</v>
      </c>
      <c r="G56" s="5"/>
    </row>
    <row r="57" spans="1:9" s="1" customFormat="1" ht="15" x14ac:dyDescent="0.2">
      <c r="A57" s="5"/>
      <c r="B57" s="1" t="s">
        <v>37</v>
      </c>
      <c r="G57" s="5"/>
    </row>
    <row r="58" spans="1:9" x14ac:dyDescent="0.2"/>
  </sheetData>
  <sheetProtection algorithmName="SHA-512" hashValue="KRbQEpoCb/BtC8LD+NKOmInAqGhjPAn5F3B02YGV/BECnRzz+46xpMFK6XXpn/b+4vDB0Vl6RfSIMtAzcZXF/Q==" saltValue="6qsFFHZuTbHDq6zivURatg==" spinCount="100000" sheet="1" objects="1" scenarios="1"/>
  <mergeCells count="16">
    <mergeCell ref="H41:I41"/>
    <mergeCell ref="H43:I43"/>
    <mergeCell ref="H55:I55"/>
    <mergeCell ref="H18:I18"/>
    <mergeCell ref="H20:I20"/>
    <mergeCell ref="H22:I22"/>
    <mergeCell ref="A3:K3"/>
    <mergeCell ref="A5:K5"/>
    <mergeCell ref="H37:I37"/>
    <mergeCell ref="H39:I39"/>
    <mergeCell ref="H10:I10"/>
    <mergeCell ref="H13:I13"/>
    <mergeCell ref="H16:I16"/>
    <mergeCell ref="H31:I31"/>
    <mergeCell ref="H25:I25"/>
    <mergeCell ref="H26:I26"/>
  </mergeCells>
  <phoneticPr fontId="0" type="noConversion"/>
  <pageMargins left="0.5" right="0.5" top="0.63" bottom="1" header="0.33" footer="0.5"/>
  <pageSetup scale="93" orientation="portrait" r:id="rId1"/>
  <headerFooter alignWithMargins="0">
    <oddFooter>&amp;L&amp;F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1"/>
  <sheetViews>
    <sheetView workbookViewId="0">
      <selection activeCell="A12" sqref="A12"/>
    </sheetView>
  </sheetViews>
  <sheetFormatPr defaultRowHeight="12.75" x14ac:dyDescent="0.2"/>
  <cols>
    <col min="1" max="1" width="4.5703125" style="6" customWidth="1"/>
    <col min="2" max="3" width="6.85546875" style="6" customWidth="1"/>
    <col min="4" max="4" width="3.140625" style="6" customWidth="1"/>
    <col min="5" max="5" width="4.28515625" style="6" customWidth="1"/>
    <col min="6" max="6" width="5.42578125" style="6" customWidth="1"/>
    <col min="7" max="7" width="7.7109375" style="6" customWidth="1"/>
    <col min="8" max="8" width="5.140625" style="6" customWidth="1"/>
    <col min="9" max="9" width="7" style="6" customWidth="1"/>
    <col min="10" max="10" width="5.28515625" style="6" customWidth="1"/>
    <col min="11" max="11" width="7" style="6" customWidth="1"/>
    <col min="12" max="12" width="4.140625" style="6" customWidth="1"/>
    <col min="13" max="13" width="6.7109375" style="6" customWidth="1"/>
    <col min="14" max="14" width="5.42578125" style="6" customWidth="1"/>
    <col min="15" max="15" width="7" style="6" customWidth="1"/>
    <col min="16" max="16" width="5.140625" style="6" customWidth="1"/>
    <col min="17" max="17" width="4.85546875" style="6" customWidth="1"/>
    <col min="18" max="18" width="5.85546875" style="6" customWidth="1"/>
    <col min="19" max="19" width="7.42578125" style="6" customWidth="1"/>
    <col min="20" max="20" width="4" style="6" customWidth="1"/>
    <col min="21" max="21" width="6.42578125" style="6" customWidth="1"/>
    <col min="22" max="22" width="5.85546875" style="6" customWidth="1"/>
    <col min="23" max="23" width="6.7109375" style="6" customWidth="1"/>
    <col min="24" max="24" width="4.140625" style="6" customWidth="1"/>
    <col min="25" max="25" width="7.140625" style="6" customWidth="1"/>
    <col min="26" max="16384" width="9.140625" style="6"/>
  </cols>
  <sheetData>
    <row r="1" spans="1:27" x14ac:dyDescent="0.2">
      <c r="A1" s="6" t="s">
        <v>54</v>
      </c>
      <c r="E1" s="6" t="s">
        <v>56</v>
      </c>
      <c r="I1" s="6" t="s">
        <v>58</v>
      </c>
      <c r="M1" s="6" t="s">
        <v>60</v>
      </c>
      <c r="Q1" s="6" t="s">
        <v>17</v>
      </c>
      <c r="U1" s="6" t="s">
        <v>59</v>
      </c>
      <c r="Y1" s="6" t="s">
        <v>61</v>
      </c>
    </row>
    <row r="2" spans="1:27" x14ac:dyDescent="0.2">
      <c r="A2" s="68" t="s">
        <v>55</v>
      </c>
      <c r="B2" s="68" t="s">
        <v>57</v>
      </c>
      <c r="C2" s="68" t="s">
        <v>64</v>
      </c>
      <c r="E2" s="68" t="s">
        <v>55</v>
      </c>
      <c r="F2" s="68" t="s">
        <v>57</v>
      </c>
      <c r="G2" s="68" t="s">
        <v>64</v>
      </c>
      <c r="I2" s="68" t="s">
        <v>55</v>
      </c>
      <c r="J2" s="68" t="s">
        <v>57</v>
      </c>
      <c r="K2" s="68" t="s">
        <v>64</v>
      </c>
      <c r="M2" s="68" t="s">
        <v>55</v>
      </c>
      <c r="N2" s="68" t="s">
        <v>57</v>
      </c>
      <c r="O2" s="68" t="s">
        <v>64</v>
      </c>
      <c r="P2" s="68"/>
      <c r="Q2" s="68" t="s">
        <v>55</v>
      </c>
      <c r="R2" s="68" t="s">
        <v>57</v>
      </c>
      <c r="S2" s="68" t="s">
        <v>64</v>
      </c>
      <c r="U2" s="68" t="s">
        <v>55</v>
      </c>
      <c r="V2" s="68" t="s">
        <v>57</v>
      </c>
      <c r="W2" s="68" t="s">
        <v>64</v>
      </c>
      <c r="Y2" s="68" t="s">
        <v>62</v>
      </c>
      <c r="Z2" s="68" t="s">
        <v>63</v>
      </c>
      <c r="AA2" s="68" t="s">
        <v>64</v>
      </c>
    </row>
    <row r="3" spans="1:27" x14ac:dyDescent="0.2">
      <c r="A3" s="69">
        <v>0</v>
      </c>
      <c r="B3" s="69">
        <v>0</v>
      </c>
      <c r="C3" s="69">
        <v>0</v>
      </c>
      <c r="E3" s="69">
        <v>0</v>
      </c>
      <c r="F3" s="69">
        <v>0</v>
      </c>
      <c r="G3" s="69">
        <v>0</v>
      </c>
      <c r="I3" s="69">
        <v>0</v>
      </c>
      <c r="J3" s="69">
        <v>0</v>
      </c>
      <c r="K3" s="69">
        <v>0</v>
      </c>
      <c r="M3" s="69">
        <v>0</v>
      </c>
      <c r="N3" s="69">
        <v>0</v>
      </c>
      <c r="O3" s="69">
        <v>0</v>
      </c>
      <c r="P3" s="68"/>
      <c r="Q3" s="69">
        <v>0</v>
      </c>
      <c r="R3" s="69">
        <v>0</v>
      </c>
      <c r="S3" s="69">
        <v>0</v>
      </c>
      <c r="U3" s="69">
        <v>0</v>
      </c>
      <c r="V3" s="69">
        <v>0</v>
      </c>
      <c r="W3" s="69">
        <v>0</v>
      </c>
      <c r="Y3" s="69">
        <v>8</v>
      </c>
      <c r="Z3" s="69">
        <v>16</v>
      </c>
      <c r="AA3" s="69">
        <v>0</v>
      </c>
    </row>
    <row r="4" spans="1:27" x14ac:dyDescent="0.2">
      <c r="A4" s="6">
        <v>1</v>
      </c>
      <c r="B4" s="6">
        <v>0</v>
      </c>
      <c r="C4" s="6">
        <v>0</v>
      </c>
      <c r="E4" s="6">
        <v>1</v>
      </c>
      <c r="F4" s="6">
        <v>12</v>
      </c>
      <c r="G4" s="6">
        <v>1</v>
      </c>
      <c r="I4" s="6">
        <v>1</v>
      </c>
      <c r="J4" s="6">
        <v>12</v>
      </c>
      <c r="K4" s="6">
        <v>1</v>
      </c>
      <c r="M4" s="6">
        <v>1</v>
      </c>
      <c r="N4" s="6">
        <v>12</v>
      </c>
      <c r="O4" s="6">
        <v>1</v>
      </c>
      <c r="Q4" s="6">
        <v>1</v>
      </c>
      <c r="R4" s="6">
        <v>12</v>
      </c>
      <c r="S4" s="6">
        <v>0</v>
      </c>
      <c r="U4" s="6">
        <v>1</v>
      </c>
      <c r="V4" s="6">
        <v>14.5</v>
      </c>
      <c r="W4" s="6">
        <v>0.25</v>
      </c>
      <c r="Y4" s="6">
        <v>9</v>
      </c>
      <c r="Z4" s="6">
        <v>14</v>
      </c>
      <c r="AA4" s="6">
        <v>0</v>
      </c>
    </row>
    <row r="5" spans="1:27" x14ac:dyDescent="0.2">
      <c r="A5" s="6">
        <v>8</v>
      </c>
      <c r="B5" s="6">
        <v>40</v>
      </c>
      <c r="C5" s="6">
        <v>0.5</v>
      </c>
      <c r="E5" s="6">
        <v>16.600000000000001</v>
      </c>
      <c r="F5" s="6">
        <v>12</v>
      </c>
      <c r="G5" s="6">
        <v>1.4</v>
      </c>
      <c r="I5" s="6">
        <v>16.600000000000001</v>
      </c>
      <c r="J5" s="6">
        <v>12</v>
      </c>
      <c r="K5" s="6">
        <v>1.4</v>
      </c>
      <c r="M5" s="6">
        <v>17</v>
      </c>
      <c r="N5" s="6">
        <v>12</v>
      </c>
      <c r="O5" s="6">
        <v>1.4</v>
      </c>
      <c r="Q5" s="6">
        <v>100</v>
      </c>
      <c r="R5" s="6">
        <v>12</v>
      </c>
      <c r="S5" s="6">
        <v>9</v>
      </c>
      <c r="U5" s="6">
        <v>4</v>
      </c>
      <c r="V5" s="6">
        <v>14.5</v>
      </c>
      <c r="W5" s="6">
        <v>0.5</v>
      </c>
      <c r="Y5" s="6">
        <v>12</v>
      </c>
      <c r="Z5" s="6">
        <v>0</v>
      </c>
      <c r="AA5" s="6">
        <v>8</v>
      </c>
    </row>
    <row r="6" spans="1:27" x14ac:dyDescent="0.2">
      <c r="A6" s="6">
        <v>16</v>
      </c>
      <c r="B6" s="6">
        <v>40</v>
      </c>
      <c r="C6" s="6">
        <v>0.6</v>
      </c>
      <c r="E6" s="6">
        <v>33.6</v>
      </c>
      <c r="F6" s="6">
        <v>13</v>
      </c>
      <c r="G6" s="6">
        <v>2.8</v>
      </c>
      <c r="I6" s="6">
        <v>33.6</v>
      </c>
      <c r="J6" s="6">
        <v>13</v>
      </c>
      <c r="K6" s="6">
        <v>2.8</v>
      </c>
      <c r="M6" s="6">
        <v>34</v>
      </c>
      <c r="N6" s="6">
        <v>13</v>
      </c>
      <c r="O6" s="6">
        <v>2.8</v>
      </c>
      <c r="Q6" s="6">
        <v>200</v>
      </c>
      <c r="R6" s="6">
        <v>13.5</v>
      </c>
      <c r="S6" s="6">
        <v>17</v>
      </c>
      <c r="U6" s="6">
        <v>8</v>
      </c>
      <c r="V6" s="6">
        <v>14.5</v>
      </c>
      <c r="W6" s="6">
        <v>0.75</v>
      </c>
    </row>
    <row r="7" spans="1:27" x14ac:dyDescent="0.2">
      <c r="A7" s="6">
        <v>21</v>
      </c>
      <c r="B7" s="6">
        <v>40</v>
      </c>
      <c r="C7" s="6">
        <v>0.75</v>
      </c>
      <c r="E7" s="6">
        <v>51.7</v>
      </c>
      <c r="F7" s="6">
        <v>15</v>
      </c>
      <c r="G7" s="6">
        <v>4</v>
      </c>
      <c r="I7" s="6">
        <v>51.7</v>
      </c>
      <c r="J7" s="6">
        <v>15</v>
      </c>
      <c r="K7" s="6">
        <v>4</v>
      </c>
      <c r="M7" s="6">
        <v>52</v>
      </c>
      <c r="N7" s="6">
        <v>15</v>
      </c>
      <c r="O7" s="6">
        <v>4</v>
      </c>
      <c r="Q7" s="6">
        <v>300</v>
      </c>
      <c r="R7" s="6">
        <v>14.5</v>
      </c>
      <c r="S7" s="6">
        <v>22</v>
      </c>
      <c r="U7" s="6">
        <v>12</v>
      </c>
      <c r="V7" s="6">
        <v>14.5</v>
      </c>
      <c r="W7" s="6">
        <v>1</v>
      </c>
    </row>
    <row r="8" spans="1:27" x14ac:dyDescent="0.2">
      <c r="A8" s="6">
        <v>26</v>
      </c>
      <c r="B8" s="6">
        <v>40</v>
      </c>
      <c r="C8" s="6">
        <v>0.85</v>
      </c>
      <c r="E8" s="6">
        <v>71.099999999999994</v>
      </c>
      <c r="F8" s="6">
        <v>16</v>
      </c>
      <c r="G8" s="6">
        <v>4.7</v>
      </c>
      <c r="I8" s="6">
        <v>71.099999999999994</v>
      </c>
      <c r="J8" s="6">
        <v>16</v>
      </c>
      <c r="K8" s="6">
        <v>4.7</v>
      </c>
      <c r="M8" s="6">
        <v>71</v>
      </c>
      <c r="N8" s="6">
        <v>16</v>
      </c>
      <c r="O8" s="6">
        <v>4.7</v>
      </c>
      <c r="Q8" s="6">
        <v>400</v>
      </c>
      <c r="R8" s="6">
        <v>16</v>
      </c>
      <c r="S8" s="6">
        <v>28</v>
      </c>
      <c r="U8" s="6">
        <v>14</v>
      </c>
      <c r="V8" s="6">
        <v>14.5</v>
      </c>
      <c r="W8" s="6">
        <v>1</v>
      </c>
    </row>
    <row r="9" spans="1:27" x14ac:dyDescent="0.2">
      <c r="A9" s="6">
        <v>31</v>
      </c>
      <c r="B9" s="6">
        <v>40</v>
      </c>
      <c r="C9" s="6">
        <v>1</v>
      </c>
      <c r="E9" s="6">
        <v>110</v>
      </c>
      <c r="F9" s="6">
        <v>19</v>
      </c>
      <c r="G9" s="6">
        <v>6.8</v>
      </c>
      <c r="I9" s="6">
        <v>110</v>
      </c>
      <c r="J9" s="6">
        <v>19</v>
      </c>
      <c r="K9" s="6">
        <v>6.8</v>
      </c>
      <c r="M9" s="6">
        <v>110</v>
      </c>
      <c r="N9" s="6">
        <v>19</v>
      </c>
      <c r="O9" s="6">
        <v>6.8</v>
      </c>
      <c r="Q9" s="6">
        <v>750</v>
      </c>
      <c r="R9" s="6">
        <v>18.5</v>
      </c>
      <c r="S9" s="6">
        <v>47</v>
      </c>
    </row>
    <row r="10" spans="1:27" x14ac:dyDescent="0.2">
      <c r="A10" s="6">
        <v>41</v>
      </c>
      <c r="B10" s="6">
        <v>40</v>
      </c>
      <c r="C10" s="6">
        <v>1</v>
      </c>
      <c r="E10" s="6">
        <v>160</v>
      </c>
      <c r="F10" s="6">
        <v>20</v>
      </c>
      <c r="G10" s="6">
        <v>8.4</v>
      </c>
      <c r="I10" s="6">
        <v>160</v>
      </c>
      <c r="J10" s="6">
        <v>20</v>
      </c>
      <c r="K10" s="6">
        <v>8.4</v>
      </c>
      <c r="M10" s="6">
        <v>160</v>
      </c>
      <c r="N10" s="6">
        <v>20</v>
      </c>
      <c r="O10" s="6">
        <v>8.4</v>
      </c>
    </row>
    <row r="11" spans="1:27" x14ac:dyDescent="0.2">
      <c r="E11" s="6">
        <v>300</v>
      </c>
      <c r="F11" s="6">
        <v>20</v>
      </c>
      <c r="G11" s="6">
        <v>15</v>
      </c>
      <c r="I11" s="6">
        <v>300</v>
      </c>
      <c r="J11" s="6">
        <v>23</v>
      </c>
      <c r="K11" s="6">
        <v>15</v>
      </c>
      <c r="M11" s="6">
        <v>300</v>
      </c>
      <c r="N11" s="6">
        <v>23</v>
      </c>
      <c r="O11" s="6">
        <v>15</v>
      </c>
    </row>
  </sheetData>
  <phoneticPr fontId="0" type="noConversion"/>
  <pageMargins left="0.75" right="0.75" top="1" bottom="1" header="0.5" footer="0.5"/>
  <pageSetup orientation="portrait" r:id="rId1"/>
  <headerFooter alignWithMargins="0">
    <oddFooter>&amp;L&amp;F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Enrollment Input</vt:lpstr>
      <vt:lpstr>Attendance % Assistance</vt:lpstr>
      <vt:lpstr>Midterm Units</vt:lpstr>
      <vt:lpstr>Best 28 Units</vt:lpstr>
      <vt:lpstr>Exceptional Child Calc</vt:lpstr>
      <vt:lpstr>criteria</vt:lpstr>
      <vt:lpstr>criteria!Criteria</vt:lpstr>
      <vt:lpstr>criteria!Extract</vt:lpstr>
      <vt:lpstr>'Best 28 Units'!Print_Area</vt:lpstr>
      <vt:lpstr>'Enrollment Input'!Print_Area</vt:lpstr>
      <vt:lpstr>'Midterm Units'!Print_Area</vt:lpstr>
    </vt:vector>
  </TitlesOfParts>
  <Company>jj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Charter School Support Unit Calculation</dc:title>
  <dc:creator>emessenger</dc:creator>
  <cp:lastModifiedBy>Brianna Dickens</cp:lastModifiedBy>
  <cp:lastPrinted>2023-03-15T14:45:54Z</cp:lastPrinted>
  <dcterms:created xsi:type="dcterms:W3CDTF">2003-05-07T20:27:16Z</dcterms:created>
  <dcterms:modified xsi:type="dcterms:W3CDTF">2025-04-17T16:21:01Z</dcterms:modified>
</cp:coreProperties>
</file>