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24226"/>
  <mc:AlternateContent xmlns:mc="http://schemas.openxmlformats.org/markup-compatibility/2006">
    <mc:Choice Requires="x15">
      <x15ac:absPath xmlns:x15ac="http://schemas.microsoft.com/office/spreadsheetml/2010/11/ac" url="G:\PublicSchoolFinance\Budget\School Budget\Budget 2025\Forms\Ready to Post\"/>
    </mc:Choice>
  </mc:AlternateContent>
  <xr:revisionPtr revIDLastSave="0" documentId="13_ncr:1_{CA88FAEA-B005-4025-A889-54ABF205997C}" xr6:coauthVersionLast="36" xr6:coauthVersionMax="36" xr10:uidLastSave="{00000000-0000-0000-0000-000000000000}"/>
  <bookViews>
    <workbookView xWindow="0" yWindow="0" windowWidth="28800" windowHeight="11385" tabRatio="674" xr2:uid="{00000000-000D-0000-FFFF-FFFF00000000}"/>
  </bookViews>
  <sheets>
    <sheet name="Enrollment Input" sheetId="6" r:id="rId1"/>
    <sheet name="Attendance % Assistance" sheetId="14" r:id="rId2"/>
    <sheet name="Midterm Units" sheetId="2" r:id="rId3"/>
    <sheet name="Best 28 Units" sheetId="13" r:id="rId4"/>
    <sheet name="Exceptional Child Calc" sheetId="1" r:id="rId5"/>
    <sheet name="criteria" sheetId="7" state="hidden" r:id="rId6"/>
  </sheets>
  <definedNames>
    <definedName name="_xlnm._FilterDatabase" localSheetId="5" hidden="1">criteria!$A$16:$B$25</definedName>
    <definedName name="_xlnm.Criteria" localSheetId="5">criteria!$A$13:$A$14</definedName>
    <definedName name="_xlnm.Extract" localSheetId="5">criteria!$E$16:$F$16</definedName>
    <definedName name="_xlnm.Print_Area" localSheetId="3">'Best 28 Units'!$A$1:$P$72</definedName>
    <definedName name="_xlnm.Print_Area" localSheetId="0">'Enrollment Input'!$A$1:$H$76</definedName>
    <definedName name="_xlnm.Print_Area" localSheetId="2">'Midterm Units'!$A$1:$P$72</definedName>
  </definedNames>
  <calcPr calcId="191029"/>
</workbook>
</file>

<file path=xl/calcChain.xml><?xml version="1.0" encoding="utf-8"?>
<calcChain xmlns="http://schemas.openxmlformats.org/spreadsheetml/2006/main">
  <c r="H13" i="1" l="1"/>
  <c r="H10" i="1"/>
  <c r="G62" i="6" l="1"/>
  <c r="H55" i="1" l="1"/>
  <c r="M39" i="13" l="1"/>
  <c r="AB70" i="13"/>
  <c r="AI70" i="13" s="1"/>
  <c r="AB66" i="13"/>
  <c r="J70" i="13"/>
  <c r="Q70" i="13" s="1"/>
  <c r="J66" i="13"/>
  <c r="Q66" i="13" s="1"/>
  <c r="AB27" i="13"/>
  <c r="J27" i="13"/>
  <c r="T70" i="13"/>
  <c r="B70" i="13"/>
  <c r="T68" i="13"/>
  <c r="B68" i="13"/>
  <c r="AI66" i="13"/>
  <c r="AE66" i="13" s="1"/>
  <c r="AG66" i="13" s="1"/>
  <c r="T66" i="13"/>
  <c r="B66" i="13"/>
  <c r="T63" i="13"/>
  <c r="B63" i="13"/>
  <c r="T60" i="13"/>
  <c r="B60" i="13"/>
  <c r="T59" i="13"/>
  <c r="B59" i="13"/>
  <c r="T57" i="13"/>
  <c r="B57" i="13"/>
  <c r="T55" i="13"/>
  <c r="B55" i="13"/>
  <c r="T53" i="13"/>
  <c r="B53" i="13"/>
  <c r="T51" i="13"/>
  <c r="B51" i="13"/>
  <c r="T49" i="13"/>
  <c r="B49" i="13"/>
  <c r="T47" i="13"/>
  <c r="B47" i="13"/>
  <c r="T45" i="13"/>
  <c r="B45" i="13"/>
  <c r="T43" i="13"/>
  <c r="B43" i="13"/>
  <c r="T41" i="13"/>
  <c r="B41" i="13"/>
  <c r="T39" i="13"/>
  <c r="B39" i="13"/>
  <c r="T37" i="13"/>
  <c r="B37" i="13"/>
  <c r="T35" i="13"/>
  <c r="B35" i="13"/>
  <c r="T33" i="13"/>
  <c r="B33" i="13"/>
  <c r="AB25" i="13"/>
  <c r="M70" i="13" l="1"/>
  <c r="O70" i="13" s="1"/>
  <c r="AE70" i="13"/>
  <c r="AG70" i="13"/>
  <c r="AB70" i="2"/>
  <c r="AB68" i="2"/>
  <c r="AB66" i="2"/>
  <c r="M66" i="13" l="1"/>
  <c r="O66" i="13" s="1"/>
  <c r="AB27" i="2"/>
  <c r="T70" i="2" l="1"/>
  <c r="B70" i="2"/>
  <c r="T68" i="2"/>
  <c r="T66" i="2"/>
  <c r="T63" i="2"/>
  <c r="T60" i="2"/>
  <c r="T59" i="2"/>
  <c r="T57" i="2"/>
  <c r="T55" i="2"/>
  <c r="T53" i="2"/>
  <c r="T51" i="2"/>
  <c r="T49" i="2"/>
  <c r="T47" i="2"/>
  <c r="T45" i="2"/>
  <c r="T43" i="2"/>
  <c r="T41" i="2"/>
  <c r="T39" i="2"/>
  <c r="T37" i="2"/>
  <c r="T35" i="2"/>
  <c r="T33" i="2"/>
  <c r="J70" i="2" l="1"/>
  <c r="Q70" i="2" s="1"/>
  <c r="B68" i="2"/>
  <c r="AI70" i="2"/>
  <c r="AG70" i="2" l="1"/>
  <c r="M70" i="2"/>
  <c r="O70" i="2" s="1"/>
  <c r="AE70" i="2"/>
  <c r="H31" i="1"/>
  <c r="AI68" i="2" l="1"/>
  <c r="AI66" i="2"/>
  <c r="AB25" i="2"/>
  <c r="AE68" i="2" l="1"/>
  <c r="AG68" i="2"/>
  <c r="AE66" i="2"/>
  <c r="AG66" i="2" s="1"/>
  <c r="G53" i="6"/>
  <c r="AB68" i="13" l="1"/>
  <c r="J68" i="13"/>
  <c r="G47" i="6"/>
  <c r="G46" i="6"/>
  <c r="G45" i="6"/>
  <c r="G44" i="6"/>
  <c r="G40" i="6"/>
  <c r="G39" i="6"/>
  <c r="G38" i="6"/>
  <c r="G36" i="6"/>
  <c r="G35" i="6"/>
  <c r="G34" i="6"/>
  <c r="G32" i="6"/>
  <c r="G31" i="6"/>
  <c r="G30" i="6"/>
  <c r="G28" i="6"/>
  <c r="G27" i="6"/>
  <c r="G26" i="6"/>
  <c r="E47" i="6"/>
  <c r="AB63" i="2" s="1"/>
  <c r="E46" i="6"/>
  <c r="E45" i="6"/>
  <c r="E44" i="6"/>
  <c r="E40" i="6"/>
  <c r="AB55" i="2" s="1"/>
  <c r="E39" i="6"/>
  <c r="E38" i="6"/>
  <c r="E36" i="6"/>
  <c r="AB49" i="2" s="1"/>
  <c r="E35" i="6"/>
  <c r="E34" i="6"/>
  <c r="E32" i="6"/>
  <c r="AB43" i="2" s="1"/>
  <c r="AE43" i="2" s="1"/>
  <c r="E31" i="6"/>
  <c r="AI41" i="2" s="1"/>
  <c r="AG41" i="2" s="1"/>
  <c r="AH41" i="2" s="1"/>
  <c r="E30" i="6"/>
  <c r="E28" i="6"/>
  <c r="E27" i="6"/>
  <c r="E26" i="6"/>
  <c r="G22" i="6"/>
  <c r="G20" i="6"/>
  <c r="G19" i="6"/>
  <c r="E22" i="6"/>
  <c r="E20" i="6"/>
  <c r="E19" i="6"/>
  <c r="G16" i="6"/>
  <c r="E16" i="6"/>
  <c r="Q68" i="13" l="1"/>
  <c r="M68" i="13"/>
  <c r="O68" i="13" s="1"/>
  <c r="AE68" i="13"/>
  <c r="AG68" i="13"/>
  <c r="AI68" i="13"/>
  <c r="J33" i="13"/>
  <c r="M33" i="13" s="1"/>
  <c r="Q33" i="13" s="1"/>
  <c r="O33" i="13" s="1"/>
  <c r="P33" i="13" s="1"/>
  <c r="J35" i="13" s="1"/>
  <c r="AB33" i="13"/>
  <c r="AE33" i="13" s="1"/>
  <c r="AI33" i="13" s="1"/>
  <c r="AG33" i="13" s="1"/>
  <c r="AH33" i="13" s="1"/>
  <c r="AB35" i="13" s="1"/>
  <c r="AE35" i="13" s="1"/>
  <c r="J49" i="13"/>
  <c r="AB49" i="13"/>
  <c r="AI51" i="13"/>
  <c r="AG51" i="13" s="1"/>
  <c r="AE51" i="13"/>
  <c r="Q51" i="13"/>
  <c r="O51" i="13" s="1"/>
  <c r="AB51" i="13"/>
  <c r="J51" i="13"/>
  <c r="M51" i="13"/>
  <c r="AH51" i="13"/>
  <c r="AB53" i="13" s="1"/>
  <c r="AE53" i="13" s="1"/>
  <c r="P51" i="13"/>
  <c r="J53" i="13" s="1"/>
  <c r="M53" i="13" s="1"/>
  <c r="Q53" i="13"/>
  <c r="AI53" i="13"/>
  <c r="AE6" i="13"/>
  <c r="X6" i="13"/>
  <c r="M6" i="13"/>
  <c r="F6" i="13"/>
  <c r="AI6" i="13"/>
  <c r="AG6" i="13" s="1"/>
  <c r="Q6" i="13"/>
  <c r="AB6" i="13"/>
  <c r="J6" i="13"/>
  <c r="J39" i="13"/>
  <c r="AI39" i="13"/>
  <c r="AG39" i="13" s="1"/>
  <c r="AH39" i="13" s="1"/>
  <c r="AB41" i="13" s="1"/>
  <c r="AE39" i="13"/>
  <c r="AB39" i="13"/>
  <c r="Q39" i="13"/>
  <c r="O39" i="13" s="1"/>
  <c r="P39" i="13" s="1"/>
  <c r="J41" i="13" s="1"/>
  <c r="M41" i="13" s="1"/>
  <c r="AB55" i="13"/>
  <c r="J55" i="13"/>
  <c r="AI41" i="13"/>
  <c r="Q41" i="13"/>
  <c r="O41" i="13" s="1"/>
  <c r="P41" i="13" s="1"/>
  <c r="AE41" i="13"/>
  <c r="M57" i="13"/>
  <c r="AI57" i="13"/>
  <c r="AG57" i="13" s="1"/>
  <c r="AH57" i="13" s="1"/>
  <c r="AB57" i="13"/>
  <c r="Q57" i="13"/>
  <c r="O57" i="13" s="1"/>
  <c r="J57" i="13"/>
  <c r="AE57" i="13"/>
  <c r="P57" i="13"/>
  <c r="J59" i="13" s="1"/>
  <c r="AB10" i="13"/>
  <c r="J10" i="13"/>
  <c r="J43" i="13"/>
  <c r="AB43" i="13"/>
  <c r="Q59" i="13"/>
  <c r="AE59" i="13"/>
  <c r="AI59" i="13"/>
  <c r="AG59" i="13"/>
  <c r="AH59" i="13" s="1"/>
  <c r="AB59" i="13"/>
  <c r="M59" i="13"/>
  <c r="O59" i="13" s="1"/>
  <c r="P59" i="13" s="1"/>
  <c r="AB37" i="13"/>
  <c r="AE37" i="13" s="1"/>
  <c r="AI37" i="13" s="1"/>
  <c r="AG37" i="13" s="1"/>
  <c r="AH37" i="13" s="1"/>
  <c r="J37" i="13"/>
  <c r="M37" i="13" s="1"/>
  <c r="Q37" i="13" s="1"/>
  <c r="O37" i="13" s="1"/>
  <c r="P37" i="13" s="1"/>
  <c r="J45" i="13"/>
  <c r="M45" i="13"/>
  <c r="Q45" i="13"/>
  <c r="AI45" i="13"/>
  <c r="AG45" i="13" s="1"/>
  <c r="AH45" i="13" s="1"/>
  <c r="AE45" i="13"/>
  <c r="AB45" i="13"/>
  <c r="P45" i="13"/>
  <c r="J47" i="13" s="1"/>
  <c r="Q60" i="13"/>
  <c r="AE60" i="13"/>
  <c r="J60" i="13"/>
  <c r="AB60" i="13"/>
  <c r="AI60" i="13"/>
  <c r="M60" i="13"/>
  <c r="O60" i="13" s="1"/>
  <c r="P60" i="13" s="1"/>
  <c r="AB17" i="13"/>
  <c r="AI47" i="13"/>
  <c r="AG47" i="13" s="1"/>
  <c r="AH47" i="13" s="1"/>
  <c r="Q47" i="13"/>
  <c r="AB47" i="13"/>
  <c r="AE47" i="13" s="1"/>
  <c r="M47" i="13"/>
  <c r="J63" i="13"/>
  <c r="AB63" i="13"/>
  <c r="AG59" i="2"/>
  <c r="AH59" i="2" s="1"/>
  <c r="O59" i="2"/>
  <c r="AE59" i="2"/>
  <c r="AI59" i="2"/>
  <c r="AG60" i="2"/>
  <c r="O60" i="2"/>
  <c r="AE45" i="2"/>
  <c r="AH45" i="2"/>
  <c r="AI45" i="2"/>
  <c r="AG45" i="2" s="1"/>
  <c r="AB45" i="2"/>
  <c r="AB60" i="2"/>
  <c r="AE60" i="2"/>
  <c r="AI60" i="2"/>
  <c r="AH60" i="2"/>
  <c r="P60" i="2"/>
  <c r="AI47" i="2"/>
  <c r="AG47" i="2" s="1"/>
  <c r="AH47" i="2" s="1"/>
  <c r="AB47" i="2"/>
  <c r="AE47" i="2" s="1"/>
  <c r="AE6" i="2"/>
  <c r="M6" i="2"/>
  <c r="AB6" i="2"/>
  <c r="J6" i="2"/>
  <c r="AH6" i="2"/>
  <c r="AI6" i="2"/>
  <c r="AG6" i="2" s="1"/>
  <c r="AB33" i="2"/>
  <c r="AE33" i="2" s="1"/>
  <c r="AI33" i="2" s="1"/>
  <c r="AG33" i="2" s="1"/>
  <c r="AH33" i="2" s="1"/>
  <c r="AB35" i="2"/>
  <c r="AE35" i="2" s="1"/>
  <c r="AI35" i="2" s="1"/>
  <c r="AG35" i="2" s="1"/>
  <c r="AH35" i="2" s="1"/>
  <c r="AI51" i="2"/>
  <c r="AG51" i="2" s="1"/>
  <c r="AB51" i="2"/>
  <c r="AE51" i="2"/>
  <c r="AH51" i="2"/>
  <c r="AB37" i="2"/>
  <c r="AI53" i="2"/>
  <c r="AG53" i="2" s="1"/>
  <c r="AH53" i="2" s="1"/>
  <c r="AB53" i="2"/>
  <c r="AE53" i="2" s="1"/>
  <c r="AE39" i="2"/>
  <c r="AI39" i="2"/>
  <c r="AG39" i="2" s="1"/>
  <c r="AH39" i="2" s="1"/>
  <c r="AB41" i="2" s="1"/>
  <c r="AE41" i="2" s="1"/>
  <c r="AB39" i="2"/>
  <c r="AE55" i="2"/>
  <c r="AI55" i="2" s="1"/>
  <c r="AG55" i="2"/>
  <c r="AH55" i="2" s="1"/>
  <c r="AB57" i="2"/>
  <c r="AE57" i="2"/>
  <c r="AH57" i="2"/>
  <c r="AI57" i="2"/>
  <c r="AG57" i="2" s="1"/>
  <c r="AE63" i="2"/>
  <c r="AI63" i="2" s="1"/>
  <c r="AG63" i="2"/>
  <c r="AH63" i="2" s="1"/>
  <c r="AE49" i="2"/>
  <c r="AI49" i="2" s="1"/>
  <c r="AG49" i="2"/>
  <c r="AH49" i="2" s="1"/>
  <c r="AI43" i="2"/>
  <c r="AG43" i="2"/>
  <c r="AH43" i="2" s="1"/>
  <c r="G68" i="6"/>
  <c r="E68" i="6"/>
  <c r="AB59" i="2"/>
  <c r="AB17" i="2"/>
  <c r="AE17" i="2" s="1"/>
  <c r="X6" i="2"/>
  <c r="H16" i="1"/>
  <c r="J45" i="2"/>
  <c r="M45" i="2" s="1"/>
  <c r="Q45" i="2" s="1"/>
  <c r="O45" i="2" s="1"/>
  <c r="P45" i="2" s="1"/>
  <c r="J47" i="2" s="1"/>
  <c r="M47" i="2" s="1"/>
  <c r="H37" i="1"/>
  <c r="H39" i="1" s="1"/>
  <c r="H41" i="1" s="1"/>
  <c r="H43" i="1" s="1"/>
  <c r="J17" i="13" s="1"/>
  <c r="J55" i="2"/>
  <c r="M55" i="2" s="1"/>
  <c r="J51" i="2"/>
  <c r="M51" i="2" s="1"/>
  <c r="Q51" i="2" s="1"/>
  <c r="O51" i="2" s="1"/>
  <c r="P51" i="2" s="1"/>
  <c r="J53" i="2" s="1"/>
  <c r="B55" i="2"/>
  <c r="B53" i="2"/>
  <c r="B51" i="2"/>
  <c r="J63" i="2"/>
  <c r="J43" i="2"/>
  <c r="M43" i="2" s="1"/>
  <c r="J37" i="2"/>
  <c r="J49" i="2"/>
  <c r="B49" i="2"/>
  <c r="B47" i="2"/>
  <c r="B45" i="2"/>
  <c r="J68" i="2"/>
  <c r="Q68" i="2" s="1"/>
  <c r="Q6" i="2"/>
  <c r="O6" i="2" s="1"/>
  <c r="J27" i="2"/>
  <c r="J33" i="2"/>
  <c r="M33" i="2" s="1"/>
  <c r="Q33" i="2" s="1"/>
  <c r="O33" i="2" s="1"/>
  <c r="P33" i="2" s="1"/>
  <c r="J35" i="2" s="1"/>
  <c r="M35" i="2" s="1"/>
  <c r="Q35" i="2" s="1"/>
  <c r="O35" i="2" s="1"/>
  <c r="P35" i="2" s="1"/>
  <c r="J39" i="2"/>
  <c r="M39" i="2" s="1"/>
  <c r="Q39" i="2" s="1"/>
  <c r="O39" i="2" s="1"/>
  <c r="P39" i="2" s="1"/>
  <c r="J41" i="2" s="1"/>
  <c r="J57" i="2"/>
  <c r="M57" i="2" s="1"/>
  <c r="Q57" i="2" s="1"/>
  <c r="O57" i="2" s="1"/>
  <c r="P57" i="2" s="1"/>
  <c r="J59" i="2" s="1"/>
  <c r="J60" i="2"/>
  <c r="J66" i="2"/>
  <c r="Q66" i="2" s="1"/>
  <c r="B59" i="2"/>
  <c r="F6" i="2"/>
  <c r="B66" i="2"/>
  <c r="B63" i="2"/>
  <c r="B60" i="2"/>
  <c r="B57" i="2"/>
  <c r="B43" i="2"/>
  <c r="B41" i="2"/>
  <c r="B39" i="2"/>
  <c r="B37" i="2"/>
  <c r="B35" i="2"/>
  <c r="B33" i="2"/>
  <c r="C41" i="6"/>
  <c r="G41" i="6"/>
  <c r="E41" i="6"/>
  <c r="G33" i="6"/>
  <c r="G37" i="6"/>
  <c r="E37" i="6"/>
  <c r="E33" i="6"/>
  <c r="G48" i="6"/>
  <c r="G29" i="6"/>
  <c r="G23" i="6"/>
  <c r="E48" i="6"/>
  <c r="C48" i="6"/>
  <c r="E29" i="6"/>
  <c r="AG41" i="13" l="1"/>
  <c r="AH41" i="13" s="1"/>
  <c r="M35" i="13"/>
  <c r="Q35" i="13" s="1"/>
  <c r="O35" i="13" s="1"/>
  <c r="P35" i="13" s="1"/>
  <c r="AI35" i="13"/>
  <c r="AG35" i="13" s="1"/>
  <c r="AH35" i="13" s="1"/>
  <c r="AH61" i="2"/>
  <c r="AG61" i="2" s="1"/>
  <c r="AB21" i="13"/>
  <c r="J21" i="13"/>
  <c r="AB21" i="2"/>
  <c r="O53" i="13"/>
  <c r="P53" i="13" s="1"/>
  <c r="AG53" i="13"/>
  <c r="AH53" i="13" s="1"/>
  <c r="O45" i="13"/>
  <c r="H17" i="2"/>
  <c r="J25" i="13"/>
  <c r="H17" i="13"/>
  <c r="O6" i="13"/>
  <c r="P6" i="13" s="1"/>
  <c r="F17" i="13"/>
  <c r="M17" i="13"/>
  <c r="Q17" i="13" s="1"/>
  <c r="O17" i="13" s="1"/>
  <c r="P17" i="13" s="1"/>
  <c r="P61" i="13"/>
  <c r="O61" i="13" s="1"/>
  <c r="M55" i="13"/>
  <c r="Q55" i="13" s="1"/>
  <c r="O55" i="13"/>
  <c r="P55" i="13" s="1"/>
  <c r="X17" i="13"/>
  <c r="AE17" i="13"/>
  <c r="AI17" i="13" s="1"/>
  <c r="AG17" i="13" s="1"/>
  <c r="AG43" i="13"/>
  <c r="AH43" i="13" s="1"/>
  <c r="AE43" i="13"/>
  <c r="AI43" i="13" s="1"/>
  <c r="X10" i="13"/>
  <c r="Z10" i="13"/>
  <c r="AG55" i="13"/>
  <c r="AH55" i="13" s="1"/>
  <c r="AE55" i="13"/>
  <c r="AI55" i="13" s="1"/>
  <c r="AE63" i="13"/>
  <c r="AI63" i="13" s="1"/>
  <c r="AG63" i="13"/>
  <c r="AH63" i="13" s="1"/>
  <c r="M43" i="13"/>
  <c r="Q43" i="13" s="1"/>
  <c r="O43" i="13"/>
  <c r="P43" i="13" s="1"/>
  <c r="AH6" i="13"/>
  <c r="M63" i="13"/>
  <c r="Q63" i="13" s="1"/>
  <c r="O63" i="13"/>
  <c r="P63" i="13" s="1"/>
  <c r="O47" i="13"/>
  <c r="P47" i="13" s="1"/>
  <c r="AE49" i="13"/>
  <c r="AI49" i="13" s="1"/>
  <c r="AG49" i="13"/>
  <c r="AH49" i="13" s="1"/>
  <c r="AG60" i="13"/>
  <c r="AH60" i="13" s="1"/>
  <c r="AH61" i="13"/>
  <c r="AG61" i="13" s="1"/>
  <c r="F10" i="13"/>
  <c r="H10" i="13"/>
  <c r="O49" i="13"/>
  <c r="P49" i="13" s="1"/>
  <c r="M49" i="13"/>
  <c r="Q49" i="13" s="1"/>
  <c r="M49" i="2"/>
  <c r="Q49" i="2" s="1"/>
  <c r="M63" i="2"/>
  <c r="Q63" i="2" s="1"/>
  <c r="AE37" i="2"/>
  <c r="AI37" i="2" s="1"/>
  <c r="AG37" i="2"/>
  <c r="AH37" i="2" s="1"/>
  <c r="O43" i="2"/>
  <c r="P43" i="2" s="1"/>
  <c r="AI17" i="2"/>
  <c r="X17" i="2"/>
  <c r="P6" i="2"/>
  <c r="M53" i="2"/>
  <c r="Q53" i="2" s="1"/>
  <c r="O53" i="2" s="1"/>
  <c r="P53" i="2" s="1"/>
  <c r="Q47" i="2"/>
  <c r="O47" i="2" s="1"/>
  <c r="P47" i="2" s="1"/>
  <c r="M41" i="2"/>
  <c r="Q41" i="2" s="1"/>
  <c r="O41" i="2" s="1"/>
  <c r="P41" i="2" s="1"/>
  <c r="M60" i="2"/>
  <c r="Q60" i="2" s="1"/>
  <c r="M59" i="2"/>
  <c r="Q59" i="2" s="1"/>
  <c r="K13" i="1"/>
  <c r="B26" i="1" s="1"/>
  <c r="K10" i="1"/>
  <c r="B25" i="1" s="1"/>
  <c r="J17" i="2"/>
  <c r="F17" i="2" s="1"/>
  <c r="E23" i="6"/>
  <c r="Q55" i="2"/>
  <c r="J21" i="2"/>
  <c r="M37" i="2"/>
  <c r="Q37" i="2" s="1"/>
  <c r="O63" i="2"/>
  <c r="P63" i="2" s="1"/>
  <c r="O49" i="2"/>
  <c r="P49" i="2" s="1"/>
  <c r="H18" i="1"/>
  <c r="H20" i="1" s="1"/>
  <c r="H22" i="1" s="1"/>
  <c r="J25" i="2"/>
  <c r="M68" i="2"/>
  <c r="O68" i="2" s="1"/>
  <c r="AB23" i="13" l="1"/>
  <c r="AB29" i="13" s="1"/>
  <c r="J23" i="13"/>
  <c r="J29" i="13" s="1"/>
  <c r="AB23" i="2"/>
  <c r="AB29" i="2" s="1"/>
  <c r="AH17" i="13"/>
  <c r="Q43" i="2"/>
  <c r="AG17" i="2"/>
  <c r="AH17" i="2" s="1"/>
  <c r="P61" i="2"/>
  <c r="O61" i="2" s="1"/>
  <c r="P59" i="2"/>
  <c r="O55" i="2"/>
  <c r="P55" i="2" s="1"/>
  <c r="M17" i="2"/>
  <c r="O37" i="2"/>
  <c r="P37" i="2" s="1"/>
  <c r="D26" i="1"/>
  <c r="J23" i="2"/>
  <c r="J29" i="2" s="1"/>
  <c r="D25" i="1"/>
  <c r="H25" i="1" s="1"/>
  <c r="AE29" i="2" l="1"/>
  <c r="AI29" i="2" s="1"/>
  <c r="AG29" i="2" s="1"/>
  <c r="AH29" i="2" s="1"/>
  <c r="M29" i="13"/>
  <c r="Q29" i="13" s="1"/>
  <c r="O29" i="13" s="1"/>
  <c r="P29" i="13" s="1"/>
  <c r="AE29" i="13"/>
  <c r="AI29" i="13" s="1"/>
  <c r="AG29" i="13" s="1"/>
  <c r="AH29" i="13" s="1"/>
  <c r="M29" i="2"/>
  <c r="Q29" i="2" s="1"/>
  <c r="O29" i="2" s="1"/>
  <c r="P29" i="2" s="1"/>
  <c r="Q17" i="2"/>
  <c r="O17" i="2" s="1"/>
  <c r="P17" i="2" s="1"/>
  <c r="M66" i="2"/>
  <c r="O66" i="2" s="1"/>
  <c r="H26" i="1"/>
  <c r="AI12" i="13" s="1"/>
  <c r="AG12" i="13" s="1"/>
  <c r="AH12" i="13" s="1"/>
  <c r="J15" i="2" l="1"/>
  <c r="AB15" i="13"/>
  <c r="AB15" i="2"/>
  <c r="J15" i="13"/>
  <c r="AB12" i="13"/>
  <c r="J12" i="13"/>
  <c r="AE10" i="13"/>
  <c r="M12" i="13"/>
  <c r="AE12" i="13"/>
  <c r="Q12" i="13"/>
  <c r="O12" i="13" s="1"/>
  <c r="P12" i="13" s="1"/>
  <c r="M10" i="13"/>
  <c r="AI10" i="13"/>
  <c r="AH13" i="13" s="1"/>
  <c r="AG13" i="13" s="1"/>
  <c r="Q10" i="13"/>
  <c r="O10" i="13"/>
  <c r="AG10" i="13"/>
  <c r="AB10" i="2"/>
  <c r="AB12" i="2"/>
  <c r="AE12" i="2"/>
  <c r="AE10" i="2"/>
  <c r="AI10" i="2" s="1"/>
  <c r="M10" i="2"/>
  <c r="J12" i="2"/>
  <c r="M12" i="2"/>
  <c r="J10" i="2"/>
  <c r="H10" i="2" s="1"/>
  <c r="X15" i="2" l="1"/>
  <c r="P13" i="13"/>
  <c r="O13" i="13" s="1"/>
  <c r="F12" i="13"/>
  <c r="H12" i="13"/>
  <c r="X12" i="13"/>
  <c r="Z12" i="13"/>
  <c r="H15" i="13"/>
  <c r="F15" i="13"/>
  <c r="M15" i="13"/>
  <c r="Q15" i="13" s="1"/>
  <c r="O15" i="13" s="1"/>
  <c r="P15" i="13" s="1"/>
  <c r="Z15" i="13"/>
  <c r="AE15" i="13"/>
  <c r="AI15" i="13" s="1"/>
  <c r="AG15" i="13" s="1"/>
  <c r="AH15" i="13" s="1"/>
  <c r="X15" i="13"/>
  <c r="P10" i="13"/>
  <c r="AH10" i="13"/>
  <c r="Z15" i="2"/>
  <c r="AE15" i="2"/>
  <c r="Q15" i="2" s="1"/>
  <c r="Z12" i="2"/>
  <c r="X12" i="2"/>
  <c r="AI12" i="2"/>
  <c r="AG12" i="2" s="1"/>
  <c r="Z10" i="2"/>
  <c r="X10" i="2"/>
  <c r="Q12" i="2"/>
  <c r="Q10" i="2"/>
  <c r="F12" i="2"/>
  <c r="H12" i="2"/>
  <c r="M15" i="2"/>
  <c r="F15" i="2"/>
  <c r="H15" i="2"/>
  <c r="F10" i="2"/>
  <c r="AI15" i="2" l="1"/>
  <c r="AG15" i="2" s="1"/>
  <c r="AH15" i="2" s="1"/>
  <c r="O15" i="2"/>
  <c r="N72" i="13"/>
  <c r="AF72" i="13"/>
  <c r="AG10" i="2"/>
  <c r="AH10" i="2" s="1"/>
  <c r="AH13" i="2"/>
  <c r="AG13" i="2" s="1"/>
  <c r="P15" i="2"/>
  <c r="O10" i="2"/>
  <c r="P10" i="2" s="1"/>
  <c r="O12" i="2"/>
  <c r="P12" i="2" s="1"/>
  <c r="AH12" i="2"/>
  <c r="P13" i="2"/>
  <c r="O13" i="2" s="1"/>
  <c r="AE73" i="13" l="1"/>
  <c r="M73" i="13"/>
  <c r="N72" i="2"/>
  <c r="AF72" i="2"/>
  <c r="AE73" i="2" l="1"/>
  <c r="M73" i="2"/>
</calcChain>
</file>

<file path=xl/sharedStrings.xml><?xml version="1.0" encoding="utf-8"?>
<sst xmlns="http://schemas.openxmlformats.org/spreadsheetml/2006/main" count="524" uniqueCount="142">
  <si>
    <t>ESTIMATING EXCEPTIONAL CHILD UNIT APPROVALS</t>
  </si>
  <si>
    <t>ELEMENTARY</t>
  </si>
  <si>
    <t>1.</t>
  </si>
  <si>
    <t>2.</t>
  </si>
  <si>
    <t>(Do not include border students)</t>
  </si>
  <si>
    <t>3.</t>
  </si>
  <si>
    <t>Elementary exceptional students eligible</t>
  </si>
  <si>
    <t>for tuition equivalency allowance</t>
  </si>
  <si>
    <t>4.</t>
  </si>
  <si>
    <t>Line 1 + Line 2 - Line 3</t>
  </si>
  <si>
    <t>5.</t>
  </si>
  <si>
    <t>Line 4 x 6%</t>
  </si>
  <si>
    <t>6.</t>
  </si>
  <si>
    <t>students approved for special education unit funding</t>
  </si>
  <si>
    <t>=</t>
  </si>
  <si>
    <t>% of</t>
  </si>
  <si>
    <t>Total</t>
  </si>
  <si>
    <t>SECONDARY</t>
  </si>
  <si>
    <t>7.</t>
  </si>
  <si>
    <t>students, grades 7-12</t>
  </si>
  <si>
    <t>(Do not include alternative school,</t>
  </si>
  <si>
    <t>detention center, or border students)</t>
  </si>
  <si>
    <t>8.</t>
  </si>
  <si>
    <t>juvenile detention center students)</t>
  </si>
  <si>
    <t>9.</t>
  </si>
  <si>
    <t>Line 7 - line 8</t>
  </si>
  <si>
    <t>10.</t>
  </si>
  <si>
    <t>Line 9 x 5.5%</t>
  </si>
  <si>
    <t>11.</t>
  </si>
  <si>
    <t>Line 8 + line 10 = the number of secondary</t>
  </si>
  <si>
    <t>students approved for special education unit funding.</t>
  </si>
  <si>
    <t>PRESCHOOL</t>
  </si>
  <si>
    <t>12.</t>
  </si>
  <si>
    <t xml:space="preserve">        then divide by 16 hours.  No student</t>
  </si>
  <si>
    <t xml:space="preserve">        will be approved for more than 1 FTE</t>
  </si>
  <si>
    <t>b.     Total all Preschool FTE approvals</t>
  </si>
  <si>
    <t xml:space="preserve">        Line 12(b) equals the number of preschool</t>
  </si>
  <si>
    <t xml:space="preserve">        exceptional students approved for unit funding.</t>
  </si>
  <si>
    <t>Grades 1-3</t>
  </si>
  <si>
    <t>Grades 4-6</t>
  </si>
  <si>
    <t>Grades 1-6</t>
  </si>
  <si>
    <t>SEPARATE ATTENDANCE UNITS</t>
  </si>
  <si>
    <t>Juvenile Detention Center A.D.A</t>
  </si>
  <si>
    <t>¸</t>
  </si>
  <si>
    <t>Line 3 + Line 5 = the number of elementary</t>
  </si>
  <si>
    <r>
      <t xml:space="preserve">tuition equivalency allowance </t>
    </r>
    <r>
      <rPr>
        <sz val="10"/>
        <rFont val="Arial"/>
        <family val="2"/>
      </rPr>
      <t>(other than</t>
    </r>
  </si>
  <si>
    <r>
      <t xml:space="preserve">a.     For </t>
    </r>
    <r>
      <rPr>
        <u/>
        <sz val="12"/>
        <rFont val="Arial"/>
        <family val="2"/>
      </rPr>
      <t>each</t>
    </r>
    <r>
      <rPr>
        <sz val="12"/>
        <rFont val="Arial"/>
        <family val="2"/>
      </rPr>
      <t xml:space="preserve"> exceptional preschool</t>
    </r>
  </si>
  <si>
    <r>
      <t xml:space="preserve">        minutes </t>
    </r>
    <r>
      <rPr>
        <u/>
        <sz val="12"/>
        <rFont val="Arial"/>
        <family val="2"/>
      </rPr>
      <t>per week</t>
    </r>
    <r>
      <rPr>
        <sz val="12"/>
        <rFont val="Arial"/>
        <family val="2"/>
      </rPr>
      <t xml:space="preserve"> of direct service;</t>
    </r>
  </si>
  <si>
    <r>
      <t xml:space="preserve">Secondary </t>
    </r>
    <r>
      <rPr>
        <u/>
        <sz val="12"/>
        <rFont val="Arial"/>
        <family val="2"/>
      </rPr>
      <t>exeptional</t>
    </r>
    <r>
      <rPr>
        <sz val="12"/>
        <rFont val="Arial"/>
        <family val="2"/>
      </rPr>
      <t xml:space="preserve"> students eligible for</t>
    </r>
  </si>
  <si>
    <t xml:space="preserve">Kindergarten </t>
  </si>
  <si>
    <t xml:space="preserve">Secondary </t>
  </si>
  <si>
    <t>Elementary</t>
  </si>
  <si>
    <t>Secondary</t>
  </si>
  <si>
    <t>grades 4-6 Portion</t>
  </si>
  <si>
    <t>X</t>
  </si>
  <si>
    <t>grades 1-3 Portion</t>
  </si>
  <si>
    <t>6.a</t>
  </si>
  <si>
    <t>6.b</t>
  </si>
  <si>
    <t>KINDERGARTEN</t>
  </si>
  <si>
    <t>Low</t>
  </si>
  <si>
    <t>Elementary grades 1-3</t>
  </si>
  <si>
    <t>Unit</t>
  </si>
  <si>
    <t>Elementary grades 4-6</t>
  </si>
  <si>
    <t>Exceptional Education</t>
  </si>
  <si>
    <t>Building 1</t>
  </si>
  <si>
    <t>Building 2</t>
  </si>
  <si>
    <t>Building 3</t>
  </si>
  <si>
    <t>Elementary grades 1-6</t>
  </si>
  <si>
    <t>SECONDARY LESS THAN 99.99</t>
  </si>
  <si>
    <t>high grade</t>
  </si>
  <si>
    <t>units</t>
  </si>
  <si>
    <t>Minimum</t>
  </si>
  <si>
    <t>Current Year Support Unit Calculation</t>
  </si>
  <si>
    <t>A.D.A</t>
  </si>
  <si>
    <r>
      <t xml:space="preserve">Unit      </t>
    </r>
    <r>
      <rPr>
        <u/>
        <sz val="10"/>
        <rFont val="Arial"/>
        <family val="2"/>
      </rPr>
      <t>Divisor</t>
    </r>
  </si>
  <si>
    <t>Support Units</t>
  </si>
  <si>
    <t>equals 300 or more:</t>
  </si>
  <si>
    <r>
      <t>Special</t>
    </r>
    <r>
      <rPr>
        <u/>
        <sz val="10"/>
        <rFont val="Arial"/>
        <family val="2"/>
      </rPr>
      <t xml:space="preserve">
Education</t>
    </r>
  </si>
  <si>
    <r>
      <t>Adjusted</t>
    </r>
    <r>
      <rPr>
        <u/>
        <sz val="10"/>
        <rFont val="Arial"/>
        <family val="2"/>
      </rPr>
      <t xml:space="preserve">
A.D.A</t>
    </r>
  </si>
  <si>
    <t xml:space="preserve">Exceptional Preschool </t>
  </si>
  <si>
    <t xml:space="preserve">Exceptional Elementary </t>
  </si>
  <si>
    <t xml:space="preserve">Exceptional Secondary </t>
  </si>
  <si>
    <t>-</t>
  </si>
  <si>
    <t>Exceptional Education Total</t>
  </si>
  <si>
    <t xml:space="preserve">        student, total the number of hours and</t>
  </si>
  <si>
    <t>Building 4</t>
  </si>
  <si>
    <t>1</t>
  </si>
  <si>
    <t>2</t>
  </si>
  <si>
    <t>3</t>
  </si>
  <si>
    <t>4</t>
  </si>
  <si>
    <t>Building 5</t>
  </si>
  <si>
    <t>5</t>
  </si>
  <si>
    <t>less than 300:</t>
  </si>
  <si>
    <t>BUDGET WORKSHEETS</t>
  </si>
  <si>
    <t>Fall Enrollment, grades K-3</t>
  </si>
  <si>
    <t>Fall Enrollment, grades 4-6</t>
  </si>
  <si>
    <t>Fall enrollment for regular secondary</t>
  </si>
  <si>
    <t>Preschool Student Approvals</t>
  </si>
  <si>
    <t>ALTERNATIVE SCHOOL UNITS</t>
  </si>
  <si>
    <t>Through Midterm Reporting Period</t>
  </si>
  <si>
    <t>*</t>
  </si>
  <si>
    <t>**</t>
  </si>
  <si>
    <t>Districts Only</t>
  </si>
  <si>
    <r>
      <t xml:space="preserve">Aggregated attendance hours </t>
    </r>
    <r>
      <rPr>
        <sz val="10"/>
        <rFont val="Calibri"/>
        <family val="2"/>
      </rPr>
      <t>÷</t>
    </r>
    <r>
      <rPr>
        <sz val="10"/>
        <rFont val="Arial"/>
        <family val="2"/>
      </rPr>
      <t xml:space="preserve"> days in session ÷ either 5 or 4 day a week program divisor</t>
    </r>
  </si>
  <si>
    <t>Alternative School Estimated ADA is based on the following calculation:</t>
  </si>
  <si>
    <t>(Use divisor of 5 for 5 day program. Use divisor of 6.25 for 4 day or less program )</t>
  </si>
  <si>
    <t>Summer Alternative School Estimated ADA is based on the following calculation:</t>
  </si>
  <si>
    <t>Aggregated attendance hours ÷ 225</t>
  </si>
  <si>
    <t>Estimated ADA for Midterm Period</t>
  </si>
  <si>
    <t>Estimated ADA for Best 28 Weeks</t>
  </si>
  <si>
    <t>*Alternative School</t>
  </si>
  <si>
    <t>**Summer Alternative School</t>
  </si>
  <si>
    <t>Exceptional Students Eligible for Tuition Equivalency Allowance</t>
  </si>
  <si>
    <t>Exceptional Preschool</t>
  </si>
  <si>
    <t>(estimated midterm %)</t>
  </si>
  <si>
    <t>(estimated B28 wks %)</t>
  </si>
  <si>
    <t>See the Attendance % Assistance worksheet for help.</t>
  </si>
  <si>
    <t>Estimating Average Attendance Percentages</t>
  </si>
  <si>
    <t>Hours &amp; minutes of service per student per week. Example: 8 hrs 40 mins entered as 8.67</t>
  </si>
  <si>
    <t xml:space="preserve">If you do not have historical attendance rates readily available, consider using the guidance/reports below to estimate midterm and best 28 weeks average attendance percentages. </t>
  </si>
  <si>
    <t>ADA Totals</t>
  </si>
  <si>
    <t>Exceptional Pre-K Students</t>
  </si>
  <si>
    <t>With Secondary Special Education Approved Allocation</t>
  </si>
  <si>
    <t>Without Secondary Special Education Approved Allocation</t>
  </si>
  <si>
    <t>TOTAL Estimated Support Units (Rounded to nearest hundredth)</t>
  </si>
  <si>
    <t>The purpose of this worksheet is to help estimate your 2024-2025 midterm and best 28 weeks support units. Entering information into the highlighted cells on this worksheet will populate the other worksheets in this file.</t>
  </si>
  <si>
    <t>Support units for the 2024-2025 school year will be calculated using ADA based on Instructional/Seat Time (4.0 and 2.5 hours).</t>
  </si>
  <si>
    <t>Based on your historical attendance, enter an estimated average student attendance percentage for the 2024-2025 midterm reporting period (1st day of school thru 1st Friday in November).</t>
  </si>
  <si>
    <t>Based on your historical attendance, enter an estimated average student attendance percentage for the 2024-2025 best 28 weeks.</t>
  </si>
  <si>
    <t>Use building 5 only for a separate elementary with 300 ADA or more in grades 1-6</t>
  </si>
  <si>
    <t>Juvenile Detention Center (Regular)</t>
  </si>
  <si>
    <t>Juvenile Detention Center (Summer)</t>
  </si>
  <si>
    <t>Support Unit Protection has not been factored into this estimation. (IC 33-1003(1))</t>
  </si>
  <si>
    <t>Enter estimated fall enrollment for all schools except separate schools</t>
  </si>
  <si>
    <t>Kindergarten</t>
  </si>
  <si>
    <t>*TOTAL Estimated Support Units (Rounded to nearest hundredth)</t>
  </si>
  <si>
    <t>*Total estimated support units should be reduced by the amount the district estimates for the cost of protection percentage)</t>
  </si>
  <si>
    <t>Enter estimated fall enrollment for separate schools (less common) (IC 33-1003)</t>
  </si>
  <si>
    <t>Optional programs - Enter information (less common)</t>
  </si>
  <si>
    <t>Best 28 Weeks Reporting Period</t>
  </si>
  <si>
    <t>Estimated
Fall Enrollment</t>
  </si>
  <si>
    <r>
      <rPr>
        <u/>
        <sz val="11"/>
        <rFont val="Arial"/>
        <family val="2"/>
      </rPr>
      <t xml:space="preserve">Estimated midterm % </t>
    </r>
    <r>
      <rPr>
        <sz val="11"/>
        <rFont val="Arial"/>
        <family val="2"/>
      </rPr>
      <t xml:space="preserve">
1 - Run the report titled "Attendance Current Year Support Unit Calculation" for the current year's midterm reporting period from the ISEE portal. Take the Total ADA amount (highlighted green in the example on the right) and subtract the Preschool amount (highlighted yellow). This result will be used in step 3.
2 - Run the report titled "Net Enrollment" for the current year's Period 1 (midterm period) from the ISEE portal. Add together the All Grades Net Total amounts and subtract all Preschool amounts. This result will be used in step 3.
3 - Divide result from step 1 by the result from step 2. Enter this percentage in cell G4 on the Input Enrollment sheet. 
</t>
    </r>
    <r>
      <rPr>
        <u/>
        <sz val="11"/>
        <rFont val="Arial"/>
        <family val="2"/>
      </rPr>
      <t>Estimated B28 %</t>
    </r>
    <r>
      <rPr>
        <sz val="11"/>
        <rFont val="Arial"/>
        <family val="2"/>
      </rPr>
      <t xml:space="preserve">
1 - Run the report titled "Attendance Current Year Support Unit Calculation" but for last year's best 28 weeks reporting period from the ISEE portal. Take the Total ADA amount (highlighted blue in the example on the right) and subtract the Preschool amount (highlighted red). This result will be used in step 3.
2 - Retrieve from the SDE Secure Website the most recently completed year's "NetEnrollmentAllYear.pdf" report (found in the July folder). Add together the All Grades Net Total amounts and subtract all Preschool amounts. This result will be used in step 3.
3 - Divide result from step 1 by the result from step 2. Enter this percentage in cell G7 on the Input Enrollment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</si>
</sst>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2"/>
      <name val="Arial"/>
      <family val="2"/>
    </font>
    <font>
      <b/>
      <sz val="12"/>
      <name val="Arial"/>
      <family val="2"/>
    </font>
    <font>
      <u/>
      <sz val="10"/>
      <name val="Arial"/>
      <family val="2"/>
    </font>
    <font>
      <u/>
      <sz val="12"/>
      <name val="Arial"/>
      <family val="2"/>
    </font>
    <font>
      <sz val="10"/>
      <name val="Arial"/>
      <family val="2"/>
    </font>
    <font>
      <sz val="11"/>
      <name val="Arial"/>
      <family val="2"/>
    </font>
    <font>
      <sz val="12"/>
      <name val="Symbol"/>
      <family val="1"/>
      <charset val="2"/>
    </font>
    <font>
      <sz val="8"/>
      <name val="Arial"/>
      <family val="2"/>
    </font>
    <font>
      <sz val="10"/>
      <color indexed="48"/>
      <name val="Arial"/>
      <family val="2"/>
    </font>
    <font>
      <sz val="10"/>
      <color indexed="12"/>
      <name val="Arial"/>
      <family val="2"/>
    </font>
    <font>
      <sz val="10"/>
      <color indexed="10"/>
      <name val="Arial"/>
      <family val="2"/>
    </font>
    <font>
      <sz val="10"/>
      <color indexed="9"/>
      <name val="Arial"/>
      <family val="2"/>
    </font>
    <font>
      <sz val="10"/>
      <name val="Arial"/>
      <family val="2"/>
    </font>
    <font>
      <sz val="16"/>
      <name val="Arial"/>
      <family val="2"/>
    </font>
    <font>
      <sz val="10"/>
      <name val="Calibri"/>
      <family val="2"/>
    </font>
    <font>
      <b/>
      <sz val="10"/>
      <name val="Arial"/>
      <family val="2"/>
    </font>
    <font>
      <i/>
      <sz val="10"/>
      <name val="Arial"/>
      <family val="2"/>
    </font>
    <font>
      <u/>
      <sz val="9"/>
      <name val="Arial"/>
      <family val="2"/>
    </font>
    <font>
      <u/>
      <sz val="11"/>
      <name val="Arial"/>
      <family val="2"/>
    </font>
    <font>
      <b/>
      <sz val="16"/>
      <color rgb="FFC00000"/>
      <name val="Arial"/>
      <family val="2"/>
    </font>
    <font>
      <sz val="10"/>
      <color theme="4"/>
      <name val="Arial"/>
      <family val="2"/>
    </font>
    <font>
      <b/>
      <i/>
      <sz val="10"/>
      <name val="Arial"/>
      <family val="2"/>
    </font>
    <font>
      <b/>
      <sz val="10"/>
      <color rgb="FFC00000"/>
      <name val="Arial"/>
      <family val="2"/>
    </font>
    <font>
      <b/>
      <i/>
      <sz val="10"/>
      <color rgb="FFFF0000"/>
      <name val="Arial"/>
      <family val="2"/>
    </font>
    <font>
      <b/>
      <sz val="10"/>
      <color rgb="FFFF0000"/>
      <name val="Arial"/>
      <family val="2"/>
    </font>
    <font>
      <b/>
      <sz val="10"/>
      <color rgb="FF0070C0"/>
      <name val="Arial"/>
      <family val="2"/>
    </font>
    <font>
      <sz val="10"/>
      <color theme="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9" fontId="13" fillId="0" borderId="0" applyFont="0" applyFill="0" applyBorder="0" applyAlignment="0" applyProtection="0"/>
    <xf numFmtId="0" fontId="5" fillId="0" borderId="0"/>
  </cellStyleXfs>
  <cellXfs count="177">
    <xf numFmtId="0" fontId="0" fillId="0" borderId="0" xfId="0"/>
    <xf numFmtId="0" fontId="1" fillId="0" borderId="0" xfId="0" applyFont="1"/>
    <xf numFmtId="0" fontId="2" fillId="0" borderId="0" xfId="0" applyFont="1" applyAlignment="1">
      <alignment horizontal="center"/>
    </xf>
    <xf numFmtId="49" fontId="0" fillId="0" borderId="0" xfId="0" applyNumberFormat="1"/>
    <xf numFmtId="49" fontId="2" fillId="0" borderId="0" xfId="0" applyNumberFormat="1" applyFont="1"/>
    <xf numFmtId="0" fontId="0" fillId="0" borderId="0" xfId="0" applyBorder="1" applyAlignment="1"/>
    <xf numFmtId="0" fontId="0" fillId="0" borderId="0" xfId="0" applyBorder="1"/>
    <xf numFmtId="49" fontId="1" fillId="0" borderId="0" xfId="0" applyNumberFormat="1" applyFont="1"/>
    <xf numFmtId="0" fontId="1" fillId="0" borderId="0" xfId="0" applyFont="1" applyBorder="1" applyAlignment="1"/>
    <xf numFmtId="0" fontId="1" fillId="0" borderId="0" xfId="0" applyFont="1" applyBorder="1"/>
    <xf numFmtId="0" fontId="5" fillId="0" borderId="0" xfId="0" applyFont="1"/>
    <xf numFmtId="0" fontId="3" fillId="0" borderId="0" xfId="0" applyFont="1"/>
    <xf numFmtId="0" fontId="6" fillId="0" borderId="0" xfId="0" applyFont="1"/>
    <xf numFmtId="49" fontId="2" fillId="0" borderId="0" xfId="0" applyNumberFormat="1" applyFont="1" applyAlignment="1">
      <alignment vertical="center"/>
    </xf>
    <xf numFmtId="49" fontId="0" fillId="0" borderId="0" xfId="0" applyNumberFormat="1" applyAlignment="1">
      <alignment horizontal="center"/>
    </xf>
    <xf numFmtId="0" fontId="0" fillId="0" borderId="0" xfId="0" applyBorder="1" applyAlignment="1">
      <alignment horizontal="center"/>
    </xf>
    <xf numFmtId="0" fontId="7"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10" fontId="5" fillId="0" borderId="1" xfId="0" applyNumberFormat="1" applyFont="1" applyBorder="1"/>
    <xf numFmtId="2" fontId="0" fillId="0" borderId="0" xfId="0" applyNumberFormat="1"/>
    <xf numFmtId="2" fontId="1" fillId="0" borderId="0" xfId="0" applyNumberFormat="1" applyFont="1"/>
    <xf numFmtId="10" fontId="1" fillId="0" borderId="0" xfId="0" applyNumberFormat="1" applyFont="1"/>
    <xf numFmtId="0" fontId="1" fillId="0" borderId="0" xfId="0" applyFont="1" applyAlignment="1">
      <alignment horizontal="center"/>
    </xf>
    <xf numFmtId="2" fontId="1" fillId="0" borderId="0" xfId="0" applyNumberFormat="1" applyFont="1" applyAlignment="1">
      <alignment horizontal="center"/>
    </xf>
    <xf numFmtId="4" fontId="0" fillId="0" borderId="0" xfId="0" applyNumberFormat="1"/>
    <xf numFmtId="4" fontId="0" fillId="0" borderId="0" xfId="0" applyNumberFormat="1" applyBorder="1"/>
    <xf numFmtId="4" fontId="0" fillId="0" borderId="2" xfId="0" applyNumberFormat="1" applyBorder="1"/>
    <xf numFmtId="4" fontId="0" fillId="0" borderId="0" xfId="0" applyNumberFormat="1" applyBorder="1" applyAlignment="1">
      <alignment horizontal="center"/>
    </xf>
    <xf numFmtId="0" fontId="8" fillId="0" borderId="0" xfId="0" applyFont="1" applyAlignment="1">
      <alignment horizontal="left" wrapText="1"/>
    </xf>
    <xf numFmtId="49" fontId="3" fillId="0" borderId="0" xfId="0" applyNumberFormat="1" applyFont="1" applyAlignment="1">
      <alignment horizontal="center" wrapText="1"/>
    </xf>
    <xf numFmtId="0" fontId="3" fillId="0" borderId="0" xfId="0" applyFont="1" applyBorder="1" applyAlignment="1">
      <alignment horizontal="center"/>
    </xf>
    <xf numFmtId="0" fontId="5" fillId="0" borderId="0" xfId="0" applyFont="1" applyBorder="1" applyAlignment="1">
      <alignment horizontal="center" wrapText="1"/>
    </xf>
    <xf numFmtId="0" fontId="10" fillId="2" borderId="0" xfId="0" applyFont="1" applyFill="1" applyAlignment="1" applyProtection="1">
      <alignment horizontal="center"/>
    </xf>
    <xf numFmtId="0" fontId="5" fillId="0" borderId="0" xfId="0" applyFont="1" applyAlignment="1">
      <alignment horizontal="center"/>
    </xf>
    <xf numFmtId="0" fontId="5" fillId="0" borderId="0" xfId="0" applyFont="1" applyAlignment="1">
      <alignment horizontal="right"/>
    </xf>
    <xf numFmtId="0" fontId="12" fillId="0" borderId="0" xfId="0" applyFont="1"/>
    <xf numFmtId="3" fontId="9" fillId="4" borderId="3" xfId="0" applyNumberFormat="1" applyFont="1" applyFill="1" applyBorder="1" applyAlignment="1" applyProtection="1">
      <alignment horizontal="center"/>
      <protection locked="0"/>
    </xf>
    <xf numFmtId="3" fontId="9" fillId="4" borderId="4" xfId="0" applyNumberFormat="1" applyFont="1" applyFill="1" applyBorder="1" applyAlignment="1" applyProtection="1">
      <alignment horizontal="center"/>
      <protection locked="0"/>
    </xf>
    <xf numFmtId="4" fontId="9" fillId="4" borderId="3" xfId="0" applyNumberFormat="1" applyFont="1" applyFill="1" applyBorder="1" applyAlignment="1" applyProtection="1">
      <alignment horizontal="center"/>
      <protection locked="0"/>
    </xf>
    <xf numFmtId="4" fontId="10" fillId="4" borderId="3" xfId="0" applyNumberFormat="1"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0" fillId="2" borderId="0" xfId="0" applyFill="1" applyAlignment="1" applyProtection="1">
      <alignment horizontal="center"/>
    </xf>
    <xf numFmtId="0" fontId="0" fillId="0" borderId="0" xfId="0" applyProtection="1"/>
    <xf numFmtId="0" fontId="0" fillId="0" borderId="0" xfId="0" applyAlignment="1" applyProtection="1">
      <alignment horizontal="right"/>
    </xf>
    <xf numFmtId="0" fontId="5" fillId="0" borderId="0" xfId="0" applyFont="1" applyProtection="1"/>
    <xf numFmtId="0" fontId="5" fillId="0" borderId="0" xfId="0" applyFont="1" applyAlignment="1" applyProtection="1">
      <alignment horizontal="left" indent="1"/>
    </xf>
    <xf numFmtId="0" fontId="18" fillId="0" borderId="0" xfId="0" applyFont="1" applyProtection="1"/>
    <xf numFmtId="0" fontId="0" fillId="0" borderId="0" xfId="0" applyFill="1" applyProtection="1"/>
    <xf numFmtId="0" fontId="0" fillId="2" borderId="0" xfId="0" applyFill="1" applyProtection="1"/>
    <xf numFmtId="0" fontId="3" fillId="0" borderId="0" xfId="0" applyFont="1" applyProtection="1"/>
    <xf numFmtId="49" fontId="5" fillId="3" borderId="0" xfId="0" applyNumberFormat="1" applyFont="1" applyFill="1" applyProtection="1"/>
    <xf numFmtId="0" fontId="0" fillId="3" borderId="0" xfId="0" applyFill="1" applyAlignment="1" applyProtection="1">
      <alignment wrapText="1"/>
    </xf>
    <xf numFmtId="49" fontId="3" fillId="0" borderId="0" xfId="0" applyNumberFormat="1" applyFont="1" applyProtection="1"/>
    <xf numFmtId="0" fontId="0" fillId="3" borderId="0" xfId="0" applyFill="1" applyProtection="1"/>
    <xf numFmtId="4" fontId="9" fillId="3" borderId="0" xfId="0" applyNumberFormat="1" applyFont="1" applyFill="1" applyBorder="1" applyAlignment="1" applyProtection="1">
      <alignment horizontal="center"/>
    </xf>
    <xf numFmtId="0" fontId="0" fillId="3" borderId="0" xfId="0" applyFill="1" applyBorder="1" applyProtection="1"/>
    <xf numFmtId="4" fontId="10" fillId="3" borderId="0" xfId="0" applyNumberFormat="1" applyFont="1" applyFill="1" applyBorder="1" applyAlignment="1" applyProtection="1">
      <alignment horizontal="center"/>
    </xf>
    <xf numFmtId="4" fontId="9" fillId="0" borderId="3" xfId="0" applyNumberFormat="1" applyFont="1" applyBorder="1" applyAlignment="1" applyProtection="1">
      <alignment horizontal="center"/>
    </xf>
    <xf numFmtId="4" fontId="10" fillId="0" borderId="3" xfId="0" applyNumberFormat="1" applyFont="1" applyBorder="1" applyAlignment="1" applyProtection="1">
      <alignment horizontal="center"/>
    </xf>
    <xf numFmtId="3" fontId="0" fillId="2" borderId="0" xfId="0" applyNumberFormat="1" applyFill="1" applyAlignment="1" applyProtection="1">
      <alignment horizontal="center"/>
    </xf>
    <xf numFmtId="0" fontId="1" fillId="0" borderId="3" xfId="0" applyFont="1" applyBorder="1" applyAlignment="1" applyProtection="1">
      <alignment wrapText="1"/>
    </xf>
    <xf numFmtId="0" fontId="14" fillId="0" borderId="0" xfId="0" applyFont="1" applyProtection="1"/>
    <xf numFmtId="9" fontId="5" fillId="0" borderId="0" xfId="0" applyNumberFormat="1" applyFont="1" applyAlignment="1" applyProtection="1">
      <alignment horizontal="center" wrapText="1"/>
    </xf>
    <xf numFmtId="0" fontId="1" fillId="0" borderId="7" xfId="0" applyFont="1" applyBorder="1" applyAlignment="1" applyProtection="1">
      <alignment wrapText="1"/>
    </xf>
    <xf numFmtId="0" fontId="0" fillId="5" borderId="0" xfId="0" applyFill="1" applyAlignment="1" applyProtection="1">
      <alignment horizontal="center"/>
      <protection locked="0"/>
    </xf>
    <xf numFmtId="0" fontId="0" fillId="2" borderId="0" xfId="0" applyFill="1" applyAlignment="1" applyProtection="1">
      <alignment horizontal="center"/>
      <protection locked="0"/>
    </xf>
    <xf numFmtId="0" fontId="0" fillId="5" borderId="0" xfId="0" applyFill="1" applyProtection="1">
      <protection locked="0"/>
    </xf>
    <xf numFmtId="0" fontId="0" fillId="2" borderId="0" xfId="0" applyFill="1" applyProtection="1">
      <protection locked="0"/>
    </xf>
    <xf numFmtId="0" fontId="0" fillId="3" borderId="0" xfId="0" applyFill="1" applyAlignment="1" applyProtection="1">
      <alignment horizontal="left" indent="4"/>
    </xf>
    <xf numFmtId="4" fontId="9" fillId="6" borderId="3" xfId="0" applyNumberFormat="1" applyFont="1" applyFill="1" applyBorder="1" applyAlignment="1" applyProtection="1">
      <alignment horizontal="center"/>
    </xf>
    <xf numFmtId="0" fontId="0" fillId="0" borderId="0" xfId="0"/>
    <xf numFmtId="4" fontId="0" fillId="0" borderId="1" xfId="0" applyNumberFormat="1" applyBorder="1" applyAlignment="1">
      <alignment horizontal="center"/>
    </xf>
    <xf numFmtId="0" fontId="5" fillId="0" borderId="0" xfId="0" applyFont="1" applyBorder="1" applyAlignment="1">
      <alignment horizontal="center" wrapText="1"/>
    </xf>
    <xf numFmtId="0" fontId="0" fillId="0" borderId="0" xfId="0" applyBorder="1" applyAlignment="1">
      <alignment horizontal="center"/>
    </xf>
    <xf numFmtId="0" fontId="0" fillId="0" borderId="0" xfId="0" applyBorder="1" applyAlignment="1"/>
    <xf numFmtId="4" fontId="9" fillId="0" borderId="0" xfId="0" applyNumberFormat="1" applyFont="1" applyFill="1" applyBorder="1" applyAlignment="1" applyProtection="1">
      <alignment horizontal="center"/>
    </xf>
    <xf numFmtId="0" fontId="12" fillId="0" borderId="12" xfId="0" applyFont="1" applyBorder="1"/>
    <xf numFmtId="0" fontId="0" fillId="0" borderId="0" xfId="0" applyAlignment="1">
      <alignment horizontal="left"/>
    </xf>
    <xf numFmtId="4" fontId="0" fillId="0" borderId="0" xfId="0" applyNumberFormat="1" applyAlignment="1">
      <alignment horizontal="center"/>
    </xf>
    <xf numFmtId="4" fontId="0" fillId="0" borderId="0" xfId="0" applyNumberFormat="1" applyBorder="1" applyAlignment="1"/>
    <xf numFmtId="0" fontId="21" fillId="0" borderId="0" xfId="0" applyFont="1"/>
    <xf numFmtId="4" fontId="1" fillId="0" borderId="0" xfId="0" applyNumberFormat="1" applyFont="1" applyAlignment="1">
      <alignment horizontal="center"/>
    </xf>
    <xf numFmtId="4" fontId="0" fillId="0" borderId="1" xfId="0" applyNumberFormat="1" applyFill="1" applyBorder="1" applyAlignment="1">
      <alignment horizontal="center"/>
    </xf>
    <xf numFmtId="4" fontId="5" fillId="0" borderId="0" xfId="0" applyNumberFormat="1" applyFont="1"/>
    <xf numFmtId="4" fontId="1" fillId="0" borderId="0" xfId="0" applyNumberFormat="1" applyFont="1"/>
    <xf numFmtId="4" fontId="7" fillId="0" borderId="0" xfId="0" applyNumberFormat="1" applyFont="1" applyAlignment="1">
      <alignment horizontal="center"/>
    </xf>
    <xf numFmtId="4" fontId="0" fillId="0" borderId="1" xfId="0" applyNumberFormat="1" applyBorder="1"/>
    <xf numFmtId="4" fontId="0" fillId="0" borderId="0" xfId="0" quotePrefix="1" applyNumberFormat="1" applyFill="1" applyAlignment="1" applyProtection="1">
      <alignment horizontal="center"/>
      <protection hidden="1"/>
    </xf>
    <xf numFmtId="4" fontId="0" fillId="0" borderId="0" xfId="0" applyNumberFormat="1" applyFill="1" applyAlignment="1" applyProtection="1">
      <alignment horizontal="center"/>
      <protection hidden="1"/>
    </xf>
    <xf numFmtId="4" fontId="0" fillId="0" borderId="1" xfId="0" applyNumberFormat="1" applyBorder="1" applyAlignment="1">
      <alignment horizontal="center"/>
    </xf>
    <xf numFmtId="4" fontId="0" fillId="0" borderId="0" xfId="0" applyNumberFormat="1" applyBorder="1" applyAlignment="1">
      <alignment horizontal="center"/>
    </xf>
    <xf numFmtId="0" fontId="0" fillId="0" borderId="0" xfId="0" applyBorder="1" applyAlignment="1">
      <alignment horizontal="center"/>
    </xf>
    <xf numFmtId="0" fontId="0" fillId="0" borderId="0" xfId="0" applyBorder="1" applyAlignment="1"/>
    <xf numFmtId="0" fontId="14" fillId="3" borderId="0" xfId="0" applyFont="1" applyFill="1" applyProtection="1"/>
    <xf numFmtId="9" fontId="5" fillId="3" borderId="0" xfId="0" applyNumberFormat="1" applyFont="1" applyFill="1" applyAlignment="1" applyProtection="1">
      <alignment horizontal="center" wrapText="1"/>
    </xf>
    <xf numFmtId="0" fontId="16" fillId="3" borderId="0" xfId="0" applyFont="1" applyFill="1" applyProtection="1"/>
    <xf numFmtId="0" fontId="17" fillId="3" borderId="0" xfId="0" applyFont="1" applyFill="1" applyAlignment="1" applyProtection="1">
      <alignment wrapText="1"/>
    </xf>
    <xf numFmtId="4" fontId="0" fillId="0" borderId="1" xfId="0" applyNumberFormat="1" applyBorder="1" applyAlignment="1">
      <alignment horizontal="center"/>
    </xf>
    <xf numFmtId="0" fontId="5" fillId="0" borderId="0" xfId="0" applyFont="1" applyBorder="1" applyAlignment="1">
      <alignment horizontal="center" wrapText="1"/>
    </xf>
    <xf numFmtId="4" fontId="0" fillId="0" borderId="0" xfId="0" applyNumberFormat="1" applyBorder="1" applyAlignment="1">
      <alignment horizontal="center"/>
    </xf>
    <xf numFmtId="0" fontId="0" fillId="0" borderId="0" xfId="0" applyBorder="1" applyAlignment="1">
      <alignment horizontal="center"/>
    </xf>
    <xf numFmtId="0" fontId="0" fillId="0" borderId="0" xfId="0" applyBorder="1" applyAlignment="1"/>
    <xf numFmtId="0" fontId="8" fillId="0" borderId="0" xfId="0" applyFont="1" applyAlignment="1">
      <alignment horizontal="left" wrapText="1"/>
    </xf>
    <xf numFmtId="0" fontId="0" fillId="0" borderId="0" xfId="0" applyBorder="1" applyAlignment="1">
      <alignment horizontal="left"/>
    </xf>
    <xf numFmtId="0" fontId="0" fillId="0" borderId="0" xfId="0" applyFill="1" applyAlignment="1" applyProtection="1">
      <alignment horizontal="center"/>
    </xf>
    <xf numFmtId="0" fontId="5" fillId="0" borderId="0" xfId="0" applyFont="1" applyBorder="1"/>
    <xf numFmtId="0" fontId="24" fillId="0" borderId="0" xfId="0" applyFont="1" applyBorder="1"/>
    <xf numFmtId="0" fontId="25" fillId="0" borderId="0" xfId="0" applyFont="1" applyBorder="1"/>
    <xf numFmtId="4" fontId="0" fillId="0" borderId="1" xfId="0" applyNumberFormat="1" applyFill="1" applyBorder="1" applyAlignment="1">
      <alignment horizontal="center"/>
    </xf>
    <xf numFmtId="164" fontId="0" fillId="0" borderId="1" xfId="0" applyNumberFormat="1" applyBorder="1" applyAlignment="1">
      <alignment horizontal="center"/>
    </xf>
    <xf numFmtId="164" fontId="0" fillId="0" borderId="0" xfId="0" applyNumberFormat="1"/>
    <xf numFmtId="164" fontId="0" fillId="0" borderId="0" xfId="0" applyNumberFormat="1" applyBorder="1" applyAlignment="1">
      <alignment horizontal="center"/>
    </xf>
    <xf numFmtId="164" fontId="0" fillId="0" borderId="1" xfId="0" applyNumberFormat="1" applyFill="1" applyBorder="1" applyAlignment="1">
      <alignment horizontal="center"/>
    </xf>
    <xf numFmtId="4" fontId="5" fillId="0" borderId="0" xfId="0" applyNumberFormat="1" applyFont="1" applyFill="1"/>
    <xf numFmtId="0" fontId="27" fillId="0" borderId="12" xfId="0" applyFont="1" applyBorder="1"/>
    <xf numFmtId="4" fontId="27" fillId="0" borderId="12" xfId="0" applyNumberFormat="1" applyFont="1" applyBorder="1"/>
    <xf numFmtId="4" fontId="27" fillId="0" borderId="12" xfId="0" applyNumberFormat="1" applyFont="1" applyFill="1" applyBorder="1"/>
    <xf numFmtId="0" fontId="27" fillId="0" borderId="0" xfId="0" applyFont="1" applyBorder="1"/>
    <xf numFmtId="0" fontId="27" fillId="0" borderId="0" xfId="0" applyFont="1"/>
    <xf numFmtId="4" fontId="27" fillId="0" borderId="0" xfId="0" applyNumberFormat="1" applyFont="1"/>
    <xf numFmtId="4" fontId="27" fillId="0" borderId="0" xfId="0" applyNumberFormat="1" applyFont="1" applyFill="1"/>
    <xf numFmtId="3" fontId="11" fillId="2" borderId="0" xfId="0" applyNumberFormat="1" applyFont="1" applyFill="1" applyAlignment="1" applyProtection="1">
      <alignment horizontal="center"/>
    </xf>
    <xf numFmtId="0" fontId="17" fillId="0" borderId="0" xfId="0" applyFont="1" applyAlignment="1" applyProtection="1">
      <alignment wrapText="1"/>
    </xf>
    <xf numFmtId="0" fontId="5" fillId="0" borderId="0" xfId="2"/>
    <xf numFmtId="0" fontId="0" fillId="5" borderId="0" xfId="0" applyFill="1" applyAlignment="1" applyProtection="1">
      <alignment horizontal="center"/>
    </xf>
    <xf numFmtId="4" fontId="10" fillId="0" borderId="3" xfId="0" applyNumberFormat="1" applyFont="1" applyFill="1" applyBorder="1" applyAlignment="1" applyProtection="1">
      <alignment horizontal="center"/>
    </xf>
    <xf numFmtId="0" fontId="9" fillId="3" borderId="0" xfId="0" applyFont="1" applyFill="1" applyBorder="1" applyAlignment="1" applyProtection="1">
      <alignment horizontal="center"/>
    </xf>
    <xf numFmtId="0" fontId="5" fillId="6" borderId="0" xfId="0" applyFont="1" applyFill="1" applyBorder="1" applyAlignment="1" applyProtection="1">
      <alignment horizontal="center"/>
    </xf>
    <xf numFmtId="0" fontId="6" fillId="0" borderId="8" xfId="0" applyFont="1" applyBorder="1" applyAlignment="1" applyProtection="1">
      <alignment wrapText="1"/>
    </xf>
    <xf numFmtId="0" fontId="6" fillId="0" borderId="7" xfId="0" applyFont="1" applyBorder="1" applyAlignment="1" applyProtection="1">
      <alignment wrapText="1"/>
    </xf>
    <xf numFmtId="10" fontId="1" fillId="4" borderId="4" xfId="1" applyNumberFormat="1" applyFont="1" applyFill="1" applyBorder="1" applyAlignment="1" applyProtection="1">
      <alignment horizontal="center" vertical="center" wrapText="1"/>
      <protection locked="0"/>
    </xf>
    <xf numFmtId="10" fontId="1" fillId="4" borderId="9" xfId="1" applyNumberFormat="1" applyFont="1" applyFill="1" applyBorder="1" applyAlignment="1" applyProtection="1">
      <alignment horizontal="center" vertical="center" wrapText="1"/>
      <protection locked="0"/>
    </xf>
    <xf numFmtId="0" fontId="0" fillId="0" borderId="0" xfId="0" applyAlignment="1" applyProtection="1">
      <alignment horizontal="left" indent="4"/>
    </xf>
    <xf numFmtId="9" fontId="8" fillId="0" borderId="3" xfId="1" applyFont="1" applyBorder="1" applyAlignment="1" applyProtection="1">
      <alignment horizontal="center" vertical="top" wrapText="1"/>
    </xf>
    <xf numFmtId="9" fontId="14" fillId="0" borderId="11" xfId="1" applyFont="1" applyBorder="1" applyAlignment="1" applyProtection="1">
      <alignment horizontal="center" vertical="top" wrapText="1"/>
    </xf>
    <xf numFmtId="0" fontId="22" fillId="0" borderId="10" xfId="0" applyFont="1" applyBorder="1" applyAlignment="1" applyProtection="1">
      <alignment vertical="top" wrapText="1"/>
    </xf>
    <xf numFmtId="0" fontId="22" fillId="0" borderId="3" xfId="0" applyFont="1" applyBorder="1" applyAlignment="1" applyProtection="1">
      <alignment vertical="top" wrapText="1"/>
    </xf>
    <xf numFmtId="0" fontId="16" fillId="0" borderId="0" xfId="0" applyFont="1" applyProtection="1"/>
    <xf numFmtId="0" fontId="5" fillId="0" borderId="0" xfId="0" applyFont="1" applyAlignment="1" applyProtection="1">
      <alignment horizontal="left" wrapText="1" indent="4"/>
    </xf>
    <xf numFmtId="0" fontId="0" fillId="0" borderId="0" xfId="0" applyAlignment="1" applyProtection="1">
      <alignment horizontal="left" wrapText="1" indent="4"/>
    </xf>
    <xf numFmtId="3" fontId="11" fillId="2" borderId="0" xfId="0" applyNumberFormat="1" applyFont="1" applyFill="1" applyAlignment="1" applyProtection="1">
      <alignment horizontal="center"/>
    </xf>
    <xf numFmtId="0" fontId="5" fillId="0" borderId="0" xfId="0" applyFont="1" applyAlignment="1" applyProtection="1">
      <alignment horizontal="center" wrapText="1"/>
    </xf>
    <xf numFmtId="0" fontId="0" fillId="0" borderId="0" xfId="0" applyAlignment="1" applyProtection="1">
      <alignment horizontal="center" wrapText="1"/>
    </xf>
    <xf numFmtId="0" fontId="16" fillId="0" borderId="0" xfId="0" applyFont="1" applyFill="1" applyProtection="1"/>
    <xf numFmtId="0" fontId="17" fillId="0" borderId="0" xfId="0" applyFont="1" applyAlignment="1" applyProtection="1">
      <alignment wrapText="1"/>
    </xf>
    <xf numFmtId="0" fontId="23" fillId="0" borderId="0" xfId="0" applyFont="1" applyAlignment="1" applyProtection="1">
      <alignment horizontal="center" vertical="center"/>
    </xf>
    <xf numFmtId="0" fontId="20" fillId="0" borderId="0" xfId="0" applyFont="1" applyAlignment="1" applyProtection="1">
      <alignment horizontal="center"/>
    </xf>
    <xf numFmtId="0" fontId="5" fillId="0" borderId="0" xfId="0" applyFont="1" applyAlignment="1" applyProtection="1">
      <alignment horizontal="center" vertical="center" wrapText="1"/>
    </xf>
    <xf numFmtId="0" fontId="0" fillId="0" borderId="0" xfId="0" applyAlignment="1" applyProtection="1">
      <alignment horizontal="center" vertical="center" wrapText="1"/>
    </xf>
    <xf numFmtId="0" fontId="16" fillId="3" borderId="0" xfId="0" applyFont="1" applyFill="1" applyAlignment="1" applyProtection="1">
      <alignment horizontal="center"/>
    </xf>
    <xf numFmtId="0" fontId="6" fillId="0" borderId="0" xfId="0" applyFont="1" applyAlignment="1" applyProtection="1">
      <alignment wrapText="1"/>
    </xf>
    <xf numFmtId="0" fontId="14" fillId="0" borderId="0" xfId="2" applyFont="1" applyAlignment="1">
      <alignment horizontal="center"/>
    </xf>
    <xf numFmtId="0" fontId="6" fillId="0" borderId="0" xfId="2" applyFont="1" applyAlignment="1">
      <alignment wrapText="1"/>
    </xf>
    <xf numFmtId="0" fontId="5" fillId="0" borderId="0" xfId="2"/>
    <xf numFmtId="4" fontId="0" fillId="0" borderId="1" xfId="0" applyNumberFormat="1" applyBorder="1" applyAlignment="1">
      <alignment horizontal="center"/>
    </xf>
    <xf numFmtId="0" fontId="0" fillId="0" borderId="6" xfId="0" applyBorder="1" applyAlignment="1">
      <alignment horizontal="left"/>
    </xf>
    <xf numFmtId="0" fontId="0" fillId="0" borderId="1" xfId="0" applyBorder="1" applyAlignment="1">
      <alignment horizontal="left"/>
    </xf>
    <xf numFmtId="4" fontId="0" fillId="0" borderId="1" xfId="0" applyNumberFormat="1" applyFill="1" applyBorder="1" applyAlignment="1">
      <alignment horizontal="center"/>
    </xf>
    <xf numFmtId="4" fontId="0" fillId="0" borderId="5" xfId="0" applyNumberFormat="1" applyBorder="1" applyAlignment="1">
      <alignment horizontal="center"/>
    </xf>
    <xf numFmtId="0" fontId="5" fillId="0" borderId="0" xfId="0" applyFont="1" applyBorder="1" applyAlignment="1">
      <alignment horizontal="center" wrapText="1"/>
    </xf>
    <xf numFmtId="0" fontId="2" fillId="0" borderId="0" xfId="0" applyFont="1" applyAlignment="1">
      <alignment horizontal="center" vertical="center"/>
    </xf>
    <xf numFmtId="2" fontId="0" fillId="0" borderId="5" xfId="0" applyNumberFormat="1" applyBorder="1" applyAlignment="1">
      <alignment horizontal="center" vertical="center"/>
    </xf>
    <xf numFmtId="0" fontId="0" fillId="0" borderId="0" xfId="0" applyBorder="1" applyAlignment="1">
      <alignment horizontal="center" wrapText="1"/>
    </xf>
    <xf numFmtId="0" fontId="0" fillId="0" borderId="1" xfId="0" applyBorder="1" applyAlignment="1"/>
    <xf numFmtId="4" fontId="26" fillId="0" borderId="0" xfId="0" applyNumberFormat="1" applyFont="1" applyBorder="1" applyAlignment="1">
      <alignment horizontal="right"/>
    </xf>
    <xf numFmtId="2" fontId="1" fillId="0" borderId="0" xfId="0" applyNumberFormat="1" applyFont="1" applyBorder="1" applyAlignment="1">
      <alignment horizontal="center"/>
    </xf>
    <xf numFmtId="0" fontId="0" fillId="0" borderId="0" xfId="0" quotePrefix="1" applyFill="1" applyBorder="1" applyAlignment="1" applyProtection="1">
      <alignment horizontal="center"/>
      <protection hidden="1"/>
    </xf>
    <xf numFmtId="0" fontId="0" fillId="0" borderId="0" xfId="0" applyFill="1" applyBorder="1" applyAlignment="1" applyProtection="1">
      <alignment horizontal="center"/>
      <protection hidden="1"/>
    </xf>
    <xf numFmtId="4" fontId="0" fillId="0" borderId="5" xfId="0" applyNumberFormat="1" applyFill="1" applyBorder="1" applyAlignment="1">
      <alignment horizontal="center" vertical="center"/>
    </xf>
    <xf numFmtId="4" fontId="0" fillId="0" borderId="6" xfId="0" applyNumberFormat="1" applyBorder="1" applyAlignment="1">
      <alignment horizontal="center"/>
    </xf>
    <xf numFmtId="4" fontId="1" fillId="0" borderId="0" xfId="0" applyNumberFormat="1" applyFont="1" applyBorder="1" applyAlignment="1">
      <alignment horizontal="center"/>
    </xf>
    <xf numFmtId="0" fontId="0" fillId="0" borderId="0" xfId="0" applyAlignment="1"/>
    <xf numFmtId="0" fontId="0" fillId="0" borderId="0" xfId="0" applyAlignment="1">
      <alignment horizontal="center" vertical="center"/>
    </xf>
    <xf numFmtId="4" fontId="1" fillId="0" borderId="1" xfId="0" applyNumberFormat="1" applyFont="1" applyBorder="1" applyAlignment="1">
      <alignment horizontal="center"/>
    </xf>
    <xf numFmtId="2" fontId="1" fillId="0" borderId="1" xfId="0" applyNumberFormat="1" applyFont="1" applyBorder="1" applyAlignment="1">
      <alignment horizontal="center"/>
    </xf>
    <xf numFmtId="4" fontId="1" fillId="0" borderId="6" xfId="0" applyNumberFormat="1" applyFont="1" applyBorder="1" applyAlignment="1">
      <alignment horizontal="center"/>
    </xf>
  </cellXfs>
  <cellStyles count="3">
    <cellStyle name="Normal" xfId="0" builtinId="0"/>
    <cellStyle name="Normal 2" xfId="2" xr:uid="{9FA8A792-DECA-4012-B211-FBD7D5BB7557}"/>
    <cellStyle name="Percent" xfId="1" builtinId="5"/>
  </cellStyles>
  <dxfs count="26">
    <dxf>
      <font>
        <b/>
        <i val="0"/>
        <condense val="0"/>
        <extend val="0"/>
        <color indexed="12"/>
      </font>
    </dxf>
    <dxf>
      <font>
        <b/>
        <i val="0"/>
        <condense val="0"/>
        <extend val="0"/>
        <color indexed="10"/>
      </font>
    </dxf>
    <dxf>
      <font>
        <condense val="0"/>
        <extend val="0"/>
        <color indexed="9"/>
      </font>
    </dxf>
    <dxf>
      <font>
        <b/>
        <i val="0"/>
        <condense val="0"/>
        <extend val="0"/>
        <color indexed="12"/>
      </font>
    </dxf>
    <dxf>
      <font>
        <b/>
        <i val="0"/>
        <condense val="0"/>
        <extend val="0"/>
        <color indexed="10"/>
      </font>
    </dxf>
    <dxf>
      <font>
        <condense val="0"/>
        <extend val="0"/>
        <color indexed="9"/>
      </font>
    </dxf>
    <dxf>
      <font>
        <strike val="0"/>
        <condense val="0"/>
        <extend val="0"/>
        <color indexed="9"/>
      </font>
    </dxf>
    <dxf>
      <font>
        <b/>
        <i val="0"/>
        <condense val="0"/>
        <extend val="0"/>
        <color indexed="12"/>
      </font>
    </dxf>
    <dxf>
      <font>
        <b/>
        <i val="0"/>
        <condense val="0"/>
        <extend val="0"/>
        <color indexed="10"/>
      </font>
    </dxf>
    <dxf>
      <font>
        <condense val="0"/>
        <extend val="0"/>
        <color indexed="9"/>
      </font>
    </dxf>
    <dxf>
      <font>
        <b/>
        <i val="0"/>
        <condense val="0"/>
        <extend val="0"/>
        <color indexed="12"/>
      </font>
    </dxf>
    <dxf>
      <font>
        <b/>
        <i val="0"/>
        <condense val="0"/>
        <extend val="0"/>
        <color indexed="10"/>
      </font>
    </dxf>
    <dxf>
      <font>
        <condense val="0"/>
        <extend val="0"/>
        <color indexed="9"/>
      </font>
    </dxf>
    <dxf>
      <font>
        <strike val="0"/>
        <condense val="0"/>
        <extend val="0"/>
        <color indexed="9"/>
      </font>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xdr:colOff>
      <xdr:row>2</xdr:row>
      <xdr:rowOff>76199</xdr:rowOff>
    </xdr:from>
    <xdr:to>
      <xdr:col>15</xdr:col>
      <xdr:colOff>315184</xdr:colOff>
      <xdr:row>2</xdr:row>
      <xdr:rowOff>2085974</xdr:rowOff>
    </xdr:to>
    <xdr:pic>
      <xdr:nvPicPr>
        <xdr:cNvPr id="2" name="Picture 1" descr="Table showing total midterm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FE2D55F1-14AC-4A12-B3DE-2BC62638AE6A}"/>
            </a:ext>
          </a:extLst>
        </xdr:cNvPr>
        <xdr:cNvPicPr>
          <a:picLocks noChangeAspect="1"/>
        </xdr:cNvPicPr>
      </xdr:nvPicPr>
      <xdr:blipFill>
        <a:blip xmlns:r="http://schemas.openxmlformats.org/officeDocument/2006/relationships" r:embed="rId1"/>
        <a:stretch>
          <a:fillRect/>
        </a:stretch>
      </xdr:blipFill>
      <xdr:spPr>
        <a:xfrm>
          <a:off x="6115049" y="733424"/>
          <a:ext cx="3344135" cy="2009775"/>
        </a:xfrm>
        <a:prstGeom prst="rect">
          <a:avLst/>
        </a:prstGeom>
        <a:ln w="12700">
          <a:solidFill>
            <a:sysClr val="windowText" lastClr="000000"/>
          </a:solidFill>
        </a:ln>
      </xdr:spPr>
    </xdr:pic>
    <xdr:clientData/>
  </xdr:twoCellAnchor>
  <xdr:twoCellAnchor editAs="oneCell">
    <xdr:from>
      <xdr:col>10</xdr:col>
      <xdr:colOff>19050</xdr:colOff>
      <xdr:row>2</xdr:row>
      <xdr:rowOff>2257425</xdr:rowOff>
    </xdr:from>
    <xdr:to>
      <xdr:col>15</xdr:col>
      <xdr:colOff>483969</xdr:colOff>
      <xdr:row>2</xdr:row>
      <xdr:rowOff>3990974</xdr:rowOff>
    </xdr:to>
    <xdr:pic>
      <xdr:nvPicPr>
        <xdr:cNvPr id="3" name="Picture 2" descr="Table showing total best 28 weeks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DC9FF0D6-6307-4E41-82AB-F0F17748D636}"/>
            </a:ext>
          </a:extLst>
        </xdr:cNvPr>
        <xdr:cNvPicPr>
          <a:picLocks noChangeAspect="1"/>
        </xdr:cNvPicPr>
      </xdr:nvPicPr>
      <xdr:blipFill>
        <a:blip xmlns:r="http://schemas.openxmlformats.org/officeDocument/2006/relationships" r:embed="rId2"/>
        <a:stretch>
          <a:fillRect/>
        </a:stretch>
      </xdr:blipFill>
      <xdr:spPr>
        <a:xfrm>
          <a:off x="6115050" y="2914650"/>
          <a:ext cx="3512919" cy="1733549"/>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H76"/>
  <sheetViews>
    <sheetView tabSelected="1" zoomScaleNormal="100" workbookViewId="0">
      <selection activeCell="G5" sqref="G5:H5"/>
    </sheetView>
  </sheetViews>
  <sheetFormatPr defaultRowHeight="12.75" x14ac:dyDescent="0.2"/>
  <cols>
    <col min="1" max="1" width="9.140625" style="43"/>
    <col min="2" max="2" width="24" style="43" customWidth="1"/>
    <col min="3" max="3" width="13.5703125" style="43" customWidth="1"/>
    <col min="4" max="4" width="3.140625" style="43" customWidth="1"/>
    <col min="5" max="5" width="14.7109375" style="43" customWidth="1"/>
    <col min="6" max="6" width="3.140625" style="43" customWidth="1"/>
    <col min="7" max="7" width="14.5703125" style="43" customWidth="1"/>
    <col min="8" max="8" width="3.140625" style="43" customWidth="1"/>
    <col min="9" max="16384" width="9.140625" style="43"/>
  </cols>
  <sheetData>
    <row r="1" spans="1:8" ht="20.25" x14ac:dyDescent="0.3">
      <c r="A1" s="147" t="s">
        <v>102</v>
      </c>
      <c r="B1" s="147"/>
      <c r="C1" s="147"/>
      <c r="D1" s="147"/>
      <c r="E1" s="147"/>
      <c r="F1" s="147"/>
      <c r="G1" s="147"/>
      <c r="H1" s="147"/>
    </row>
    <row r="2" spans="1:8" ht="18" customHeight="1" x14ac:dyDescent="0.2">
      <c r="A2" s="146" t="s">
        <v>132</v>
      </c>
      <c r="B2" s="146"/>
      <c r="C2" s="146"/>
      <c r="D2" s="146"/>
      <c r="E2" s="146"/>
      <c r="F2" s="146"/>
      <c r="G2" s="146"/>
      <c r="H2" s="146"/>
    </row>
    <row r="3" spans="1:8" ht="48" customHeight="1" x14ac:dyDescent="0.2">
      <c r="A3" s="151" t="s">
        <v>125</v>
      </c>
      <c r="B3" s="151"/>
      <c r="C3" s="151"/>
      <c r="D3" s="151"/>
      <c r="E3" s="151"/>
      <c r="F3" s="151"/>
      <c r="G3" s="151"/>
      <c r="H3" s="151"/>
    </row>
    <row r="4" spans="1:8" ht="32.1" customHeight="1" thickBot="1" x14ac:dyDescent="0.25">
      <c r="A4" s="151" t="s">
        <v>126</v>
      </c>
      <c r="B4" s="151"/>
      <c r="C4" s="151"/>
      <c r="D4" s="151"/>
      <c r="E4" s="151"/>
      <c r="F4" s="151"/>
      <c r="G4" s="151"/>
      <c r="H4" s="151"/>
    </row>
    <row r="5" spans="1:8" ht="45.95" customHeight="1" thickBot="1" x14ac:dyDescent="0.25">
      <c r="A5" s="129" t="s">
        <v>127</v>
      </c>
      <c r="B5" s="130"/>
      <c r="C5" s="130"/>
      <c r="D5" s="130"/>
      <c r="E5" s="130"/>
      <c r="F5" s="64"/>
      <c r="G5" s="131"/>
      <c r="H5" s="132"/>
    </row>
    <row r="6" spans="1:8" ht="15.95" customHeight="1" thickBot="1" x14ac:dyDescent="0.25">
      <c r="A6" s="136" t="s">
        <v>116</v>
      </c>
      <c r="B6" s="137"/>
      <c r="C6" s="137"/>
      <c r="D6" s="137"/>
      <c r="E6" s="137"/>
      <c r="F6" s="61"/>
      <c r="G6" s="134" t="s">
        <v>114</v>
      </c>
      <c r="H6" s="135"/>
    </row>
    <row r="7" spans="1:8" ht="6" customHeight="1" thickBot="1" x14ac:dyDescent="0.35">
      <c r="A7" s="62"/>
      <c r="E7" s="63"/>
      <c r="G7" s="63"/>
    </row>
    <row r="8" spans="1:8" ht="45.95" customHeight="1" thickBot="1" x14ac:dyDescent="0.25">
      <c r="A8" s="129" t="s">
        <v>128</v>
      </c>
      <c r="B8" s="130"/>
      <c r="C8" s="130"/>
      <c r="D8" s="130"/>
      <c r="E8" s="130"/>
      <c r="F8" s="64"/>
      <c r="G8" s="131"/>
      <c r="H8" s="132"/>
    </row>
    <row r="9" spans="1:8" ht="15.95" customHeight="1" thickBot="1" x14ac:dyDescent="0.25">
      <c r="A9" s="136" t="s">
        <v>116</v>
      </c>
      <c r="B9" s="137"/>
      <c r="C9" s="137"/>
      <c r="D9" s="137"/>
      <c r="E9" s="137"/>
      <c r="F9" s="61"/>
      <c r="G9" s="134" t="s">
        <v>115</v>
      </c>
      <c r="H9" s="135"/>
    </row>
    <row r="10" spans="1:8" ht="6" customHeight="1" x14ac:dyDescent="0.3">
      <c r="A10" s="62"/>
      <c r="E10" s="63"/>
      <c r="G10" s="63"/>
    </row>
    <row r="11" spans="1:8" ht="15.75" customHeight="1" x14ac:dyDescent="0.3">
      <c r="A11" s="94"/>
      <c r="B11" s="54"/>
      <c r="C11" s="54"/>
      <c r="D11" s="54"/>
      <c r="E11" s="95"/>
      <c r="F11" s="54"/>
      <c r="G11" s="95"/>
      <c r="H11" s="54"/>
    </row>
    <row r="12" spans="1:8" ht="15.75" customHeight="1" x14ac:dyDescent="0.3">
      <c r="A12" s="94"/>
      <c r="B12" s="138" t="s">
        <v>133</v>
      </c>
      <c r="C12" s="138"/>
      <c r="D12" s="138"/>
      <c r="E12" s="138"/>
      <c r="F12" s="138"/>
      <c r="G12" s="138"/>
      <c r="H12" s="54"/>
    </row>
    <row r="13" spans="1:8" ht="15.75" customHeight="1" x14ac:dyDescent="0.3">
      <c r="A13" s="94"/>
      <c r="B13" s="96"/>
      <c r="C13" s="96"/>
      <c r="D13" s="96"/>
      <c r="E13" s="96"/>
      <c r="F13" s="96"/>
      <c r="G13" s="96"/>
      <c r="H13" s="54"/>
    </row>
    <row r="14" spans="1:8" ht="15.75" customHeight="1" x14ac:dyDescent="0.2">
      <c r="A14" s="150"/>
      <c r="B14" s="150"/>
      <c r="C14" s="148" t="s">
        <v>140</v>
      </c>
      <c r="D14" s="49"/>
      <c r="E14" s="142" t="s">
        <v>108</v>
      </c>
      <c r="F14" s="49"/>
      <c r="G14" s="142" t="s">
        <v>109</v>
      </c>
      <c r="H14" s="49"/>
    </row>
    <row r="15" spans="1:8" ht="24.95" customHeight="1" x14ac:dyDescent="0.2">
      <c r="A15" s="49"/>
      <c r="B15" s="49"/>
      <c r="C15" s="149"/>
      <c r="D15" s="49"/>
      <c r="E15" s="143"/>
      <c r="F15" s="49"/>
      <c r="G15" s="143"/>
      <c r="H15" s="49"/>
    </row>
    <row r="16" spans="1:8" ht="13.5" thickBot="1" x14ac:dyDescent="0.25">
      <c r="A16" s="50" t="s">
        <v>134</v>
      </c>
      <c r="C16" s="37"/>
      <c r="D16" s="49"/>
      <c r="E16" s="58">
        <f>C16*$G$5</f>
        <v>0</v>
      </c>
      <c r="F16" s="49"/>
      <c r="G16" s="59">
        <f>C16*$G$8</f>
        <v>0</v>
      </c>
      <c r="H16" s="49"/>
    </row>
    <row r="17" spans="1:8" x14ac:dyDescent="0.2">
      <c r="A17" s="49"/>
      <c r="B17" s="49"/>
      <c r="C17" s="49"/>
      <c r="D17" s="49"/>
      <c r="E17" s="60"/>
      <c r="F17" s="49"/>
      <c r="G17" s="33"/>
      <c r="H17" s="49"/>
    </row>
    <row r="18" spans="1:8" x14ac:dyDescent="0.2">
      <c r="A18" s="50" t="s">
        <v>51</v>
      </c>
      <c r="C18" s="42"/>
      <c r="D18" s="49"/>
      <c r="E18" s="60"/>
      <c r="F18" s="49"/>
      <c r="G18" s="33"/>
      <c r="H18" s="49"/>
    </row>
    <row r="19" spans="1:8" ht="13.5" thickBot="1" x14ac:dyDescent="0.25">
      <c r="B19" s="45" t="s">
        <v>38</v>
      </c>
      <c r="C19" s="37"/>
      <c r="D19" s="49"/>
      <c r="E19" s="58">
        <f>C19*$G$5</f>
        <v>0</v>
      </c>
      <c r="F19" s="49"/>
      <c r="G19" s="59">
        <f>C19*$G$8</f>
        <v>0</v>
      </c>
      <c r="H19" s="49"/>
    </row>
    <row r="20" spans="1:8" ht="13.5" thickBot="1" x14ac:dyDescent="0.25">
      <c r="B20" s="45" t="s">
        <v>39</v>
      </c>
      <c r="C20" s="38"/>
      <c r="D20" s="49"/>
      <c r="E20" s="58">
        <f>C20*$G$5</f>
        <v>0</v>
      </c>
      <c r="F20" s="49"/>
      <c r="G20" s="59">
        <f>C20*$G$8</f>
        <v>0</v>
      </c>
      <c r="H20" s="49"/>
    </row>
    <row r="21" spans="1:8" x14ac:dyDescent="0.2">
      <c r="A21" s="49"/>
      <c r="B21" s="49"/>
      <c r="C21" s="49"/>
      <c r="D21" s="49"/>
      <c r="E21" s="60"/>
      <c r="F21" s="49"/>
      <c r="G21" s="33"/>
      <c r="H21" s="49"/>
    </row>
    <row r="22" spans="1:8" ht="13.5" thickBot="1" x14ac:dyDescent="0.25">
      <c r="A22" s="50" t="s">
        <v>52</v>
      </c>
      <c r="C22" s="37"/>
      <c r="D22" s="49"/>
      <c r="E22" s="58">
        <f>C22*$G$5</f>
        <v>0</v>
      </c>
      <c r="F22" s="49"/>
      <c r="G22" s="59">
        <f>C22*$G$8</f>
        <v>0</v>
      </c>
      <c r="H22" s="49"/>
    </row>
    <row r="23" spans="1:8" x14ac:dyDescent="0.2">
      <c r="A23" s="49"/>
      <c r="B23" s="49"/>
      <c r="C23" s="141"/>
      <c r="D23" s="141"/>
      <c r="E23" s="122" t="str">
        <f>IF(E22=0," ",IF(E22-'Exceptional Child Calc'!H43&lt;99.99,"Grade 7 thru"," "))</f>
        <v xml:space="preserve"> </v>
      </c>
      <c r="F23" s="65"/>
      <c r="G23" s="122" t="str">
        <f>IF(G22=0," ",IF(G22-'Exceptional Child Calc'!J43&lt;99.99,"Grade 7 thru"," "))</f>
        <v xml:space="preserve"> </v>
      </c>
      <c r="H23" s="66"/>
    </row>
    <row r="24" spans="1:8" x14ac:dyDescent="0.2">
      <c r="A24" s="49"/>
      <c r="B24" s="144" t="s">
        <v>137</v>
      </c>
      <c r="C24" s="144"/>
      <c r="D24" s="144"/>
      <c r="E24" s="144"/>
      <c r="F24" s="144"/>
      <c r="G24" s="144"/>
      <c r="H24" s="42"/>
    </row>
    <row r="25" spans="1:8" x14ac:dyDescent="0.2">
      <c r="A25" s="49"/>
      <c r="B25" s="49"/>
      <c r="C25" s="122"/>
      <c r="D25" s="122"/>
      <c r="E25" s="122"/>
      <c r="F25" s="125"/>
      <c r="G25" s="122"/>
      <c r="H25" s="42"/>
    </row>
    <row r="26" spans="1:8" ht="13.5" thickBot="1" x14ac:dyDescent="0.25">
      <c r="A26" s="43" t="s">
        <v>64</v>
      </c>
      <c r="B26" s="45" t="s">
        <v>49</v>
      </c>
      <c r="C26" s="37"/>
      <c r="D26" s="42"/>
      <c r="E26" s="58">
        <f>C26*$G$5</f>
        <v>0</v>
      </c>
      <c r="F26" s="49"/>
      <c r="G26" s="59">
        <f>C26*$G$8</f>
        <v>0</v>
      </c>
      <c r="H26" s="49"/>
    </row>
    <row r="27" spans="1:8" ht="13.5" thickBot="1" x14ac:dyDescent="0.25">
      <c r="B27" s="45" t="s">
        <v>40</v>
      </c>
      <c r="C27" s="38"/>
      <c r="D27" s="42"/>
      <c r="E27" s="58">
        <f>C27*$G$5</f>
        <v>0</v>
      </c>
      <c r="F27" s="49"/>
      <c r="G27" s="59">
        <f>C27*$G$8</f>
        <v>0</v>
      </c>
      <c r="H27" s="49"/>
    </row>
    <row r="28" spans="1:8" ht="13.5" thickBot="1" x14ac:dyDescent="0.25">
      <c r="B28" s="45" t="s">
        <v>50</v>
      </c>
      <c r="C28" s="37"/>
      <c r="D28" s="42"/>
      <c r="E28" s="58">
        <f>C28*$G$5</f>
        <v>0</v>
      </c>
      <c r="F28" s="49"/>
      <c r="G28" s="59">
        <f>C28*$G$8</f>
        <v>0</v>
      </c>
      <c r="H28" s="49"/>
    </row>
    <row r="29" spans="1:8" ht="12" customHeight="1" x14ac:dyDescent="0.2">
      <c r="B29" s="45"/>
      <c r="C29" s="141"/>
      <c r="D29" s="141"/>
      <c r="E29" s="122" t="str">
        <f>IF(E28=0," ",IF(E28&lt;99.99,"Grade 7 thru"," "))</f>
        <v xml:space="preserve"> </v>
      </c>
      <c r="F29" s="67"/>
      <c r="G29" s="122" t="str">
        <f>IF(G28=0," ",IF(G28&lt;99.99,"Grade 7 thru"," "))</f>
        <v xml:space="preserve"> </v>
      </c>
      <c r="H29" s="68"/>
    </row>
    <row r="30" spans="1:8" ht="13.5" thickBot="1" x14ac:dyDescent="0.25">
      <c r="A30" s="43" t="s">
        <v>65</v>
      </c>
      <c r="B30" s="45" t="s">
        <v>49</v>
      </c>
      <c r="C30" s="37"/>
      <c r="D30" s="42"/>
      <c r="E30" s="58">
        <f>C30*$G$5</f>
        <v>0</v>
      </c>
      <c r="F30" s="49"/>
      <c r="G30" s="59">
        <f>C30*$G$8</f>
        <v>0</v>
      </c>
      <c r="H30" s="49"/>
    </row>
    <row r="31" spans="1:8" ht="13.5" thickBot="1" x14ac:dyDescent="0.25">
      <c r="B31" s="45" t="s">
        <v>40</v>
      </c>
      <c r="C31" s="38"/>
      <c r="D31" s="42"/>
      <c r="E31" s="58">
        <f>C31*$G$5</f>
        <v>0</v>
      </c>
      <c r="F31" s="49"/>
      <c r="G31" s="59">
        <f>C31*$G$8</f>
        <v>0</v>
      </c>
      <c r="H31" s="49"/>
    </row>
    <row r="32" spans="1:8" ht="13.5" thickBot="1" x14ac:dyDescent="0.25">
      <c r="B32" s="45" t="s">
        <v>50</v>
      </c>
      <c r="C32" s="37"/>
      <c r="D32" s="42"/>
      <c r="E32" s="58">
        <f>C32*$G$5</f>
        <v>0</v>
      </c>
      <c r="F32" s="49"/>
      <c r="G32" s="59">
        <f>C32*$G$8</f>
        <v>0</v>
      </c>
      <c r="H32" s="49"/>
    </row>
    <row r="33" spans="1:8" ht="12.75" customHeight="1" x14ac:dyDescent="0.2">
      <c r="B33" s="45"/>
      <c r="C33" s="141"/>
      <c r="D33" s="141"/>
      <c r="E33" s="122" t="str">
        <f>IF(E32=0," ",IF(E32&lt;99.99,"Grade 7 thru"," "))</f>
        <v xml:space="preserve"> </v>
      </c>
      <c r="F33" s="68"/>
      <c r="G33" s="122" t="str">
        <f>IF(G32=0," ",IF(G32&lt;99.99,"Grade 7 thru"," "))</f>
        <v xml:space="preserve"> </v>
      </c>
      <c r="H33" s="68"/>
    </row>
    <row r="34" spans="1:8" ht="13.5" thickBot="1" x14ac:dyDescent="0.25">
      <c r="A34" s="43" t="s">
        <v>66</v>
      </c>
      <c r="B34" s="45" t="s">
        <v>49</v>
      </c>
      <c r="C34" s="37"/>
      <c r="D34" s="42"/>
      <c r="E34" s="58">
        <f>C34*$G$5</f>
        <v>0</v>
      </c>
      <c r="F34" s="49"/>
      <c r="G34" s="59">
        <f>C34*$G$8</f>
        <v>0</v>
      </c>
      <c r="H34" s="49"/>
    </row>
    <row r="35" spans="1:8" ht="13.5" thickBot="1" x14ac:dyDescent="0.25">
      <c r="B35" s="45" t="s">
        <v>40</v>
      </c>
      <c r="C35" s="38"/>
      <c r="D35" s="42"/>
      <c r="E35" s="58">
        <f>C35*$G$5</f>
        <v>0</v>
      </c>
      <c r="F35" s="49"/>
      <c r="G35" s="59">
        <f>C35*$G$8</f>
        <v>0</v>
      </c>
      <c r="H35" s="49"/>
    </row>
    <row r="36" spans="1:8" ht="13.5" thickBot="1" x14ac:dyDescent="0.25">
      <c r="B36" s="45" t="s">
        <v>50</v>
      </c>
      <c r="C36" s="37"/>
      <c r="D36" s="42"/>
      <c r="E36" s="58">
        <f>C36*$G$5</f>
        <v>0</v>
      </c>
      <c r="F36" s="49"/>
      <c r="G36" s="59">
        <f>C36*$G$8</f>
        <v>0</v>
      </c>
      <c r="H36" s="49"/>
    </row>
    <row r="37" spans="1:8" ht="11.25" customHeight="1" x14ac:dyDescent="0.2">
      <c r="B37" s="45"/>
      <c r="C37" s="141"/>
      <c r="D37" s="141"/>
      <c r="E37" s="122" t="str">
        <f>IF(E36=0," ",IF(E36&lt;99.99,"Grade 7 thru"," "))</f>
        <v xml:space="preserve"> </v>
      </c>
      <c r="F37" s="68"/>
      <c r="G37" s="122" t="str">
        <f>IF(G36=0," ",IF(G36&lt;99.99,"Grade 7 thru"," "))</f>
        <v xml:space="preserve"> </v>
      </c>
      <c r="H37" s="68"/>
    </row>
    <row r="38" spans="1:8" ht="13.5" thickBot="1" x14ac:dyDescent="0.25">
      <c r="A38" s="43" t="s">
        <v>85</v>
      </c>
      <c r="B38" s="45" t="s">
        <v>49</v>
      </c>
      <c r="C38" s="37"/>
      <c r="D38" s="42"/>
      <c r="E38" s="58">
        <f>C38*$G$5</f>
        <v>0</v>
      </c>
      <c r="F38" s="49"/>
      <c r="G38" s="59">
        <f>C38*$G$8</f>
        <v>0</v>
      </c>
      <c r="H38" s="49"/>
    </row>
    <row r="39" spans="1:8" ht="13.5" thickBot="1" x14ac:dyDescent="0.25">
      <c r="B39" s="45" t="s">
        <v>40</v>
      </c>
      <c r="C39" s="38"/>
      <c r="D39" s="42"/>
      <c r="E39" s="58">
        <f>C39*$G$5</f>
        <v>0</v>
      </c>
      <c r="F39" s="49"/>
      <c r="G39" s="59">
        <f>C39*$G$8</f>
        <v>0</v>
      </c>
      <c r="H39" s="49"/>
    </row>
    <row r="40" spans="1:8" ht="13.5" thickBot="1" x14ac:dyDescent="0.25">
      <c r="B40" s="45" t="s">
        <v>50</v>
      </c>
      <c r="C40" s="37"/>
      <c r="D40" s="42"/>
      <c r="E40" s="58">
        <f>C40*$G$5</f>
        <v>0</v>
      </c>
      <c r="F40" s="49"/>
      <c r="G40" s="59">
        <f>C40*$G$8</f>
        <v>0</v>
      </c>
      <c r="H40" s="49"/>
    </row>
    <row r="41" spans="1:8" ht="11.25" customHeight="1" x14ac:dyDescent="0.2">
      <c r="B41" s="45"/>
      <c r="C41" s="141" t="str">
        <f>IF($E$40=0," ",IF($E$40&lt;99.99,"Grades Served"," "))</f>
        <v xml:space="preserve"> </v>
      </c>
      <c r="D41" s="141"/>
      <c r="E41" s="122" t="str">
        <f>IF(E40=0," ",IF(E40&lt;99.99,"Grade 7 thru"," "))</f>
        <v xml:space="preserve"> </v>
      </c>
      <c r="F41" s="68"/>
      <c r="G41" s="122" t="str">
        <f>IF(G40=0," ",IF(G40&lt;99.99,"Grade 7 thru"," "))</f>
        <v xml:space="preserve"> </v>
      </c>
      <c r="H41" s="68"/>
    </row>
    <row r="42" spans="1:8" x14ac:dyDescent="0.2">
      <c r="B42" s="145" t="s">
        <v>129</v>
      </c>
      <c r="C42" s="145"/>
      <c r="D42" s="145"/>
      <c r="E42" s="145"/>
      <c r="F42" s="145"/>
      <c r="G42" s="145"/>
      <c r="H42" s="42"/>
    </row>
    <row r="43" spans="1:8" ht="12.75" customHeight="1" x14ac:dyDescent="0.2">
      <c r="B43" s="123"/>
      <c r="C43" s="97"/>
      <c r="D43" s="42"/>
      <c r="E43" s="122"/>
      <c r="F43" s="122"/>
      <c r="G43" s="122"/>
      <c r="H43" s="42"/>
    </row>
    <row r="44" spans="1:8" ht="13.5" thickBot="1" x14ac:dyDescent="0.25">
      <c r="A44" s="43" t="s">
        <v>90</v>
      </c>
      <c r="B44" s="45" t="s">
        <v>49</v>
      </c>
      <c r="C44" s="37"/>
      <c r="D44" s="42"/>
      <c r="E44" s="58">
        <f>C44*$G$5</f>
        <v>0</v>
      </c>
      <c r="F44" s="49"/>
      <c r="G44" s="59">
        <f>C44*$G$8</f>
        <v>0</v>
      </c>
      <c r="H44" s="49"/>
    </row>
    <row r="45" spans="1:8" ht="13.5" thickBot="1" x14ac:dyDescent="0.25">
      <c r="B45" s="45" t="s">
        <v>38</v>
      </c>
      <c r="C45" s="38"/>
      <c r="D45" s="42"/>
      <c r="E45" s="58">
        <f>C45*$G$5</f>
        <v>0</v>
      </c>
      <c r="F45" s="49"/>
      <c r="G45" s="59">
        <f>C45*$G$8</f>
        <v>0</v>
      </c>
      <c r="H45" s="49"/>
    </row>
    <row r="46" spans="1:8" ht="12" customHeight="1" thickBot="1" x14ac:dyDescent="0.25">
      <c r="B46" s="45" t="s">
        <v>39</v>
      </c>
      <c r="C46" s="37"/>
      <c r="D46" s="42"/>
      <c r="E46" s="58">
        <f>C46*$G$5</f>
        <v>0</v>
      </c>
      <c r="F46" s="49"/>
      <c r="G46" s="59">
        <f>C46*$G$8</f>
        <v>0</v>
      </c>
      <c r="H46" s="49"/>
    </row>
    <row r="47" spans="1:8" ht="13.5" thickBot="1" x14ac:dyDescent="0.25">
      <c r="B47" s="45" t="s">
        <v>50</v>
      </c>
      <c r="C47" s="37"/>
      <c r="D47" s="42"/>
      <c r="E47" s="58">
        <f>C47*$G$5</f>
        <v>0</v>
      </c>
      <c r="F47" s="49"/>
      <c r="G47" s="59">
        <f>C47*$G$8</f>
        <v>0</v>
      </c>
      <c r="H47" s="49"/>
    </row>
    <row r="48" spans="1:8" x14ac:dyDescent="0.2">
      <c r="A48" s="49"/>
      <c r="B48" s="49"/>
      <c r="C48" s="141" t="str">
        <f>IF(E47=0," ",IF(E47&lt;99.99,"Grades Served"," "))</f>
        <v xml:space="preserve"> </v>
      </c>
      <c r="D48" s="141"/>
      <c r="E48" s="122" t="str">
        <f>IF(E47=0," ",IF(E47&lt;99.99,"Grade 7 thru"," "))</f>
        <v xml:space="preserve"> </v>
      </c>
      <c r="F48" s="68"/>
      <c r="G48" s="122" t="str">
        <f>IF(G47=0," ",IF(G47&lt;99.99,"Grade 7 thru"," "))</f>
        <v xml:space="preserve"> </v>
      </c>
      <c r="H48" s="68"/>
    </row>
    <row r="49" spans="1:8" x14ac:dyDescent="0.2">
      <c r="A49" s="49"/>
      <c r="B49" s="144" t="s">
        <v>138</v>
      </c>
      <c r="C49" s="144"/>
      <c r="D49" s="144"/>
      <c r="E49" s="144"/>
      <c r="F49" s="144"/>
      <c r="G49" s="144"/>
      <c r="H49" s="49"/>
    </row>
    <row r="50" spans="1:8" x14ac:dyDescent="0.2">
      <c r="A50" s="49"/>
      <c r="B50" s="49"/>
      <c r="C50" s="122"/>
      <c r="D50" s="122"/>
      <c r="E50" s="122"/>
      <c r="F50" s="49"/>
      <c r="G50" s="122"/>
      <c r="H50" s="49"/>
    </row>
    <row r="51" spans="1:8" ht="13.5" thickBot="1" x14ac:dyDescent="0.25">
      <c r="A51" s="53" t="s">
        <v>110</v>
      </c>
      <c r="C51" s="42"/>
      <c r="D51" s="49"/>
      <c r="E51" s="39"/>
      <c r="F51" s="49"/>
      <c r="G51" s="40"/>
      <c r="H51" s="49"/>
    </row>
    <row r="52" spans="1:8" x14ac:dyDescent="0.2">
      <c r="A52" s="51"/>
      <c r="B52" s="54"/>
      <c r="C52" s="42"/>
      <c r="D52" s="49"/>
      <c r="E52" s="55"/>
      <c r="F52" s="56"/>
      <c r="G52" s="57"/>
      <c r="H52" s="49"/>
    </row>
    <row r="53" spans="1:8" ht="13.5" thickBot="1" x14ac:dyDescent="0.25">
      <c r="A53" s="53" t="s">
        <v>111</v>
      </c>
      <c r="C53" s="42"/>
      <c r="D53" s="49"/>
      <c r="E53" s="39"/>
      <c r="F53" s="49"/>
      <c r="G53" s="70">
        <f>E53</f>
        <v>0</v>
      </c>
      <c r="H53" s="49"/>
    </row>
    <row r="54" spans="1:8" x14ac:dyDescent="0.2">
      <c r="A54" s="49"/>
      <c r="B54" s="49"/>
      <c r="C54" s="49"/>
      <c r="D54" s="49"/>
      <c r="E54" s="42"/>
      <c r="F54" s="49"/>
      <c r="G54" s="33"/>
      <c r="H54" s="49"/>
    </row>
    <row r="55" spans="1:8" x14ac:dyDescent="0.2">
      <c r="A55" s="53" t="s">
        <v>113</v>
      </c>
      <c r="C55" s="42"/>
      <c r="D55" s="49"/>
      <c r="E55" s="42"/>
      <c r="F55" s="49"/>
      <c r="G55" s="33"/>
      <c r="H55" s="49"/>
    </row>
    <row r="56" spans="1:8" ht="13.5" customHeight="1" thickBot="1" x14ac:dyDescent="0.25">
      <c r="A56" s="139" t="s">
        <v>121</v>
      </c>
      <c r="B56" s="140"/>
      <c r="C56" s="39"/>
      <c r="D56" s="49"/>
      <c r="E56" s="56"/>
      <c r="F56" s="49"/>
      <c r="G56" s="33"/>
      <c r="H56" s="49"/>
    </row>
    <row r="57" spans="1:8" x14ac:dyDescent="0.2">
      <c r="A57" s="51"/>
      <c r="B57" s="52"/>
      <c r="C57" s="42"/>
      <c r="D57" s="49"/>
      <c r="E57" s="55"/>
      <c r="F57" s="49"/>
      <c r="G57" s="33"/>
      <c r="H57" s="49"/>
    </row>
    <row r="58" spans="1:8" ht="39" customHeight="1" thickBot="1" x14ac:dyDescent="0.25">
      <c r="A58" s="139" t="s">
        <v>118</v>
      </c>
      <c r="B58" s="139"/>
      <c r="C58" s="39"/>
      <c r="D58" s="49"/>
      <c r="E58" s="56"/>
      <c r="F58" s="49"/>
      <c r="G58" s="33"/>
      <c r="H58" s="49"/>
    </row>
    <row r="59" spans="1:8" x14ac:dyDescent="0.2">
      <c r="A59" s="49"/>
      <c r="B59" s="49"/>
      <c r="C59" s="42"/>
      <c r="D59" s="49"/>
      <c r="E59" s="42"/>
      <c r="F59" s="49"/>
      <c r="G59" s="33"/>
      <c r="H59" s="49"/>
    </row>
    <row r="60" spans="1:8" ht="13.5" thickBot="1" x14ac:dyDescent="0.25">
      <c r="A60" s="50" t="s">
        <v>130</v>
      </c>
      <c r="C60" s="42"/>
      <c r="D60" s="49"/>
      <c r="E60" s="39"/>
      <c r="F60" s="49"/>
      <c r="G60" s="40"/>
      <c r="H60" s="49"/>
    </row>
    <row r="61" spans="1:8" x14ac:dyDescent="0.2">
      <c r="A61" s="42"/>
      <c r="B61" s="42"/>
      <c r="C61" s="42"/>
      <c r="D61" s="42"/>
      <c r="E61" s="42"/>
      <c r="F61" s="42"/>
      <c r="G61" s="42"/>
      <c r="H61" s="42"/>
    </row>
    <row r="62" spans="1:8" ht="13.5" thickBot="1" x14ac:dyDescent="0.25">
      <c r="A62" s="50" t="s">
        <v>131</v>
      </c>
      <c r="B62" s="105"/>
      <c r="C62" s="42"/>
      <c r="D62" s="42"/>
      <c r="E62" s="39"/>
      <c r="F62" s="42"/>
      <c r="G62" s="126">
        <f>E62</f>
        <v>0</v>
      </c>
      <c r="H62" s="42"/>
    </row>
    <row r="63" spans="1:8" x14ac:dyDescent="0.2">
      <c r="A63" s="42"/>
      <c r="B63" s="42"/>
      <c r="C63" s="42"/>
      <c r="D63" s="42"/>
      <c r="E63" s="42"/>
      <c r="F63" s="42"/>
      <c r="G63" s="42"/>
      <c r="H63" s="42"/>
    </row>
    <row r="64" spans="1:8" x14ac:dyDescent="0.2">
      <c r="A64" s="47" t="s">
        <v>112</v>
      </c>
      <c r="D64" s="48"/>
      <c r="E64" s="49"/>
      <c r="F64" s="42"/>
      <c r="G64" s="42"/>
      <c r="H64" s="42"/>
    </row>
    <row r="65" spans="1:8" ht="13.5" thickBot="1" x14ac:dyDescent="0.25">
      <c r="A65" s="133" t="s">
        <v>51</v>
      </c>
      <c r="B65" s="133"/>
      <c r="C65" s="41"/>
      <c r="D65" s="42"/>
      <c r="E65" s="42"/>
      <c r="F65" s="42"/>
      <c r="G65" s="42"/>
      <c r="H65" s="42"/>
    </row>
    <row r="66" spans="1:8" ht="13.5" thickBot="1" x14ac:dyDescent="0.25">
      <c r="A66" s="133" t="s">
        <v>52</v>
      </c>
      <c r="B66" s="133"/>
      <c r="C66" s="41"/>
      <c r="D66" s="42"/>
      <c r="E66" s="42"/>
      <c r="F66" s="42"/>
      <c r="G66" s="42"/>
      <c r="H66" s="42"/>
    </row>
    <row r="67" spans="1:8" x14ac:dyDescent="0.2">
      <c r="A67" s="69"/>
      <c r="B67" s="69"/>
      <c r="C67" s="127"/>
      <c r="D67" s="42"/>
      <c r="E67" s="42"/>
      <c r="F67" s="42"/>
      <c r="G67" s="42"/>
      <c r="H67" s="42"/>
    </row>
    <row r="68" spans="1:8" x14ac:dyDescent="0.2">
      <c r="A68" s="69"/>
      <c r="B68" s="69"/>
      <c r="C68" s="128" t="s">
        <v>120</v>
      </c>
      <c r="D68" s="42"/>
      <c r="E68" s="76">
        <f>E16+E19+E20+E22+E26+E27+E28+E30+E31+E32+E34+E35+E36+E38+E39+E40+E44+E45+E46+E47+E51+E53+E60+E62+((C56*C58)/16)</f>
        <v>0</v>
      </c>
      <c r="F68" s="42"/>
      <c r="G68" s="76">
        <f>G16+G19+G20+G22+G26+G27+G28+G30+G31+G32+G34+G35+G36+G38+G39+G40+G44+G45+G46+G47+G51+G53+G60+G62+((C56*C58)/16)</f>
        <v>0</v>
      </c>
      <c r="H68" s="42"/>
    </row>
    <row r="69" spans="1:8" x14ac:dyDescent="0.2">
      <c r="A69" s="42"/>
      <c r="B69" s="42"/>
      <c r="C69" s="42"/>
      <c r="D69" s="42"/>
      <c r="E69" s="42"/>
      <c r="F69" s="42"/>
      <c r="G69" s="42"/>
      <c r="H69" s="42"/>
    </row>
    <row r="71" spans="1:8" x14ac:dyDescent="0.2">
      <c r="A71" s="44" t="s">
        <v>100</v>
      </c>
      <c r="B71" s="45" t="s">
        <v>104</v>
      </c>
    </row>
    <row r="72" spans="1:8" x14ac:dyDescent="0.2">
      <c r="B72" s="46" t="s">
        <v>103</v>
      </c>
    </row>
    <row r="73" spans="1:8" x14ac:dyDescent="0.2">
      <c r="B73" s="46" t="s">
        <v>105</v>
      </c>
    </row>
    <row r="74" spans="1:8" x14ac:dyDescent="0.2">
      <c r="B74" s="45"/>
    </row>
    <row r="75" spans="1:8" x14ac:dyDescent="0.2">
      <c r="A75" s="44" t="s">
        <v>101</v>
      </c>
      <c r="B75" s="45" t="s">
        <v>106</v>
      </c>
    </row>
    <row r="76" spans="1:8" x14ac:dyDescent="0.2">
      <c r="B76" s="46" t="s">
        <v>107</v>
      </c>
    </row>
  </sheetData>
  <sheetProtection algorithmName="SHA-512" hashValue="bvGJX/IjNxid5uTIL0YiUCw+ydlZ3NjQZzPabiOGEcw/1+GNXHizNUzHivi3XqX8IyQ90lxz2N8slwUfYx0M9w==" saltValue="Yi76SELXEfTbhOxAvUUk2w==" spinCount="100000" sheet="1" objects="1" scenarios="1" selectLockedCells="1"/>
  <mergeCells count="30">
    <mergeCell ref="A2:H2"/>
    <mergeCell ref="A1:H1"/>
    <mergeCell ref="C37:D37"/>
    <mergeCell ref="C41:D41"/>
    <mergeCell ref="G14:G15"/>
    <mergeCell ref="C14:C15"/>
    <mergeCell ref="C23:D23"/>
    <mergeCell ref="C29:D29"/>
    <mergeCell ref="A14:B14"/>
    <mergeCell ref="C33:D33"/>
    <mergeCell ref="A4:H4"/>
    <mergeCell ref="A5:E5"/>
    <mergeCell ref="A6:E6"/>
    <mergeCell ref="G6:H6"/>
    <mergeCell ref="A3:H3"/>
    <mergeCell ref="G5:H5"/>
    <mergeCell ref="A66:B66"/>
    <mergeCell ref="A56:B56"/>
    <mergeCell ref="A58:B58"/>
    <mergeCell ref="C48:D48"/>
    <mergeCell ref="E14:E15"/>
    <mergeCell ref="B24:G24"/>
    <mergeCell ref="B42:G42"/>
    <mergeCell ref="B49:G49"/>
    <mergeCell ref="A8:E8"/>
    <mergeCell ref="G8:H8"/>
    <mergeCell ref="A65:B65"/>
    <mergeCell ref="G9:H9"/>
    <mergeCell ref="A9:E9"/>
    <mergeCell ref="B12:G12"/>
  </mergeCells>
  <phoneticPr fontId="0" type="noConversion"/>
  <conditionalFormatting sqref="H29 F29 F33 H33 H37 H41 F41 H48:H49 F48">
    <cfRule type="expression" dxfId="25" priority="4" stopIfTrue="1">
      <formula>E28=0</formula>
    </cfRule>
    <cfRule type="expression" dxfId="24" priority="5" stopIfTrue="1">
      <formula>E28&lt;99.99</formula>
    </cfRule>
    <cfRule type="expression" dxfId="23" priority="6" stopIfTrue="1">
      <formula>E28&gt;99.99</formula>
    </cfRule>
  </conditionalFormatting>
  <conditionalFormatting sqref="F23 H23:H25 F25">
    <cfRule type="expression" dxfId="22" priority="7" stopIfTrue="1">
      <formula>E22=0</formula>
    </cfRule>
    <cfRule type="expression" dxfId="21" priority="8" stopIfTrue="1">
      <formula>E23="Grade 7 thru"</formula>
    </cfRule>
    <cfRule type="expression" dxfId="20" priority="9" stopIfTrue="1">
      <formula>E22&gt;99.99</formula>
    </cfRule>
  </conditionalFormatting>
  <conditionalFormatting sqref="F37">
    <cfRule type="expression" dxfId="19" priority="1" stopIfTrue="1">
      <formula>E36=0</formula>
    </cfRule>
    <cfRule type="expression" dxfId="18" priority="2" stopIfTrue="1">
      <formula>E36&lt;99.99</formula>
    </cfRule>
    <cfRule type="expression" dxfId="17" priority="3" stopIfTrue="1">
      <formula>E36&gt;99.99</formula>
    </cfRule>
  </conditionalFormatting>
  <conditionalFormatting sqref="H50 F50">
    <cfRule type="expression" dxfId="16" priority="13" stopIfTrue="1">
      <formula>E48=0</formula>
    </cfRule>
    <cfRule type="expression" dxfId="15" priority="14" stopIfTrue="1">
      <formula>E48&lt;99.99</formula>
    </cfRule>
    <cfRule type="expression" dxfId="14" priority="15" stopIfTrue="1">
      <formula>E48&gt;99.99</formula>
    </cfRule>
  </conditionalFormatting>
  <pageMargins left="0.75" right="0.75" top="0.25" bottom="0.25" header="0.25" footer="0.15"/>
  <pageSetup paperSize="5" scale="86" orientation="portrait" r:id="rId1"/>
  <headerFooter alignWithMargins="0">
    <oddFooter>&amp;L&amp;F</oddFooter>
  </headerFooter>
  <ignoredErrors>
    <ignoredError sqref="E29 G29 E33 E37 G37 G33" formula="1"/>
    <ignoredError sqref="G6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B0F1-0F06-41DD-A6D9-0AAD2B4782B4}">
  <dimension ref="A1:J3"/>
  <sheetViews>
    <sheetView zoomScaleNormal="100" workbookViewId="0">
      <selection sqref="A1:J1"/>
    </sheetView>
  </sheetViews>
  <sheetFormatPr defaultRowHeight="12.75" x14ac:dyDescent="0.2"/>
  <cols>
    <col min="1" max="16384" width="9.140625" style="124"/>
  </cols>
  <sheetData>
    <row r="1" spans="1:10" ht="20.25" x14ac:dyDescent="0.3">
      <c r="A1" s="152" t="s">
        <v>117</v>
      </c>
      <c r="B1" s="152"/>
      <c r="C1" s="152"/>
      <c r="D1" s="152"/>
      <c r="E1" s="152"/>
      <c r="F1" s="152"/>
      <c r="G1" s="152"/>
      <c r="H1" s="152"/>
      <c r="I1" s="152"/>
      <c r="J1" s="152"/>
    </row>
    <row r="2" spans="1:10" ht="32.1" customHeight="1" x14ac:dyDescent="0.2">
      <c r="A2" s="153" t="s">
        <v>119</v>
      </c>
      <c r="B2" s="153"/>
      <c r="C2" s="153"/>
      <c r="D2" s="153"/>
      <c r="E2" s="153"/>
      <c r="F2" s="153"/>
      <c r="G2" s="153"/>
      <c r="H2" s="153"/>
      <c r="I2" s="153"/>
      <c r="J2" s="153"/>
    </row>
    <row r="3" spans="1:10" ht="316.5" customHeight="1" x14ac:dyDescent="0.2">
      <c r="A3" s="153" t="s">
        <v>141</v>
      </c>
      <c r="B3" s="154"/>
      <c r="C3" s="154"/>
      <c r="D3" s="154"/>
      <c r="E3" s="154"/>
      <c r="F3" s="154"/>
      <c r="G3" s="154"/>
      <c r="H3" s="154"/>
      <c r="I3" s="154"/>
      <c r="J3" s="154"/>
    </row>
  </sheetData>
  <sheetProtection algorithmName="SHA-512" hashValue="WPrfWz7IEQIZUP0qHqNh8UtoGJJw+22fCeeKpXrdLM5N9ylJWY6HXgLPDW8koopk8RYZTkHWGrbcvtTjL6jh+A==" saltValue="0DsYUQECLgprea9lFzs9sg==" spinCount="100000" sheet="1" objects="1" scenarios="1"/>
  <mergeCells count="3">
    <mergeCell ref="A1:J1"/>
    <mergeCell ref="A2:J2"/>
    <mergeCell ref="A3:J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38"/>
  <sheetViews>
    <sheetView showGridLines="0" zoomScale="90" zoomScaleNormal="90" workbookViewId="0">
      <selection sqref="A1:O1"/>
    </sheetView>
  </sheetViews>
  <sheetFormatPr defaultRowHeight="12.75" x14ac:dyDescent="0.2"/>
  <cols>
    <col min="1" max="1" width="4.140625" style="3" customWidth="1"/>
    <col min="2" max="2" width="2.5703125" customWidth="1"/>
    <col min="5" max="5" width="5.85546875" customWidth="1"/>
    <col min="6" max="6" width="8.85546875" customWidth="1"/>
    <col min="7" max="7" width="3.140625" customWidth="1"/>
    <col min="8" max="8" width="10.140625" customWidth="1"/>
    <col min="9" max="9" width="3.8554687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7" width="8.85546875" style="36" customWidth="1"/>
    <col min="18" max="18" width="4.7109375" customWidth="1"/>
    <col min="19" max="19" width="4.140625" style="71" customWidth="1"/>
    <col min="20" max="20" width="2.5703125" style="71" customWidth="1"/>
    <col min="21" max="22" width="9.140625" style="71"/>
    <col min="23" max="23" width="5.85546875" style="71" customWidth="1"/>
    <col min="24" max="24" width="9.140625" style="71"/>
    <col min="25" max="25" width="3.140625" style="71" customWidth="1"/>
    <col min="26" max="26" width="10.140625" style="71" customWidth="1"/>
    <col min="27" max="27" width="3.85546875" style="71" customWidth="1"/>
    <col min="28" max="28" width="9.140625" style="71" customWidth="1"/>
    <col min="29" max="29" width="6.28515625" style="71" customWidth="1"/>
    <col min="30" max="30" width="5.5703125" style="71" customWidth="1"/>
    <col min="31" max="31" width="10.85546875" style="71" customWidth="1"/>
    <col min="32" max="32" width="8" style="71" customWidth="1"/>
    <col min="33" max="33" width="12.140625" style="71" customWidth="1"/>
    <col min="34" max="34" width="10.28515625" customWidth="1"/>
    <col min="35" max="35" width="8.85546875" style="81" customWidth="1"/>
  </cols>
  <sheetData>
    <row r="1" spans="1:35" ht="14.25" customHeight="1" x14ac:dyDescent="0.25">
      <c r="A1" s="161" t="s">
        <v>72</v>
      </c>
      <c r="B1" s="161"/>
      <c r="C1" s="161"/>
      <c r="D1" s="161"/>
      <c r="E1" s="161"/>
      <c r="F1" s="161"/>
      <c r="G1" s="161"/>
      <c r="H1" s="161"/>
      <c r="I1" s="161"/>
      <c r="J1" s="161"/>
      <c r="K1" s="161"/>
      <c r="L1" s="161"/>
      <c r="M1" s="161"/>
      <c r="N1" s="161"/>
      <c r="O1" s="161"/>
      <c r="P1" s="2"/>
      <c r="Q1" s="115"/>
      <c r="S1" s="161" t="s">
        <v>72</v>
      </c>
      <c r="T1" s="161"/>
      <c r="U1" s="161"/>
      <c r="V1" s="161"/>
      <c r="W1" s="161"/>
      <c r="X1" s="161"/>
      <c r="Y1" s="161"/>
      <c r="Z1" s="161"/>
      <c r="AA1" s="161"/>
      <c r="AB1" s="161"/>
      <c r="AC1" s="161"/>
      <c r="AD1" s="161"/>
      <c r="AE1" s="161"/>
      <c r="AF1" s="161"/>
      <c r="AG1" s="161"/>
      <c r="AI1" s="119"/>
    </row>
    <row r="2" spans="1:35" ht="15.75" x14ac:dyDescent="0.2">
      <c r="A2" s="161" t="s">
        <v>99</v>
      </c>
      <c r="B2" s="161"/>
      <c r="C2" s="161"/>
      <c r="D2" s="161"/>
      <c r="E2" s="161"/>
      <c r="F2" s="161"/>
      <c r="G2" s="161"/>
      <c r="H2" s="161"/>
      <c r="I2" s="161"/>
      <c r="J2" s="161"/>
      <c r="K2" s="161"/>
      <c r="L2" s="161"/>
      <c r="M2" s="161"/>
      <c r="N2" s="161"/>
      <c r="O2" s="161"/>
      <c r="Q2" s="115"/>
      <c r="S2" s="161" t="s">
        <v>99</v>
      </c>
      <c r="T2" s="161"/>
      <c r="U2" s="161"/>
      <c r="V2" s="161"/>
      <c r="W2" s="161"/>
      <c r="X2" s="161"/>
      <c r="Y2" s="161"/>
      <c r="Z2" s="161"/>
      <c r="AA2" s="161"/>
      <c r="AB2" s="161"/>
      <c r="AC2" s="161"/>
      <c r="AD2" s="161"/>
      <c r="AE2" s="161"/>
      <c r="AF2" s="161"/>
      <c r="AG2" s="161"/>
      <c r="AI2" s="119"/>
    </row>
    <row r="3" spans="1:35" ht="15.75" x14ac:dyDescent="0.2">
      <c r="A3" s="161" t="s">
        <v>122</v>
      </c>
      <c r="B3" s="161"/>
      <c r="C3" s="161"/>
      <c r="D3" s="161"/>
      <c r="E3" s="161"/>
      <c r="F3" s="161"/>
      <c r="G3" s="161"/>
      <c r="H3" s="161"/>
      <c r="I3" s="161"/>
      <c r="J3" s="161"/>
      <c r="K3" s="161"/>
      <c r="L3" s="161"/>
      <c r="M3" s="161"/>
      <c r="N3" s="161"/>
      <c r="O3" s="161"/>
      <c r="Q3" s="115"/>
      <c r="S3" s="161" t="s">
        <v>123</v>
      </c>
      <c r="T3" s="161"/>
      <c r="U3" s="161"/>
      <c r="V3" s="161"/>
      <c r="W3" s="161"/>
      <c r="X3" s="161"/>
      <c r="Y3" s="161"/>
      <c r="Z3" s="161"/>
      <c r="AA3" s="161"/>
      <c r="AB3" s="161"/>
      <c r="AC3" s="161"/>
      <c r="AD3" s="161"/>
      <c r="AE3" s="161"/>
      <c r="AF3" s="161"/>
      <c r="AG3" s="161"/>
      <c r="AI3" s="119"/>
    </row>
    <row r="4" spans="1:35" ht="31.5" customHeight="1" x14ac:dyDescent="0.2">
      <c r="A4" s="13"/>
      <c r="F4" s="31" t="s">
        <v>73</v>
      </c>
      <c r="H4" s="32" t="s">
        <v>77</v>
      </c>
      <c r="I4" s="15"/>
      <c r="J4" s="160" t="s">
        <v>78</v>
      </c>
      <c r="K4" s="163"/>
      <c r="M4" s="18" t="s">
        <v>74</v>
      </c>
      <c r="O4" s="30" t="s">
        <v>75</v>
      </c>
      <c r="Q4" s="115"/>
      <c r="S4" s="13"/>
      <c r="X4" s="31" t="s">
        <v>73</v>
      </c>
      <c r="Z4" s="73" t="s">
        <v>77</v>
      </c>
      <c r="AA4" s="74"/>
      <c r="AB4" s="160" t="s">
        <v>78</v>
      </c>
      <c r="AC4" s="160"/>
      <c r="AE4" s="18" t="s">
        <v>74</v>
      </c>
      <c r="AG4" s="30" t="s">
        <v>75</v>
      </c>
      <c r="AH4" s="71"/>
      <c r="AI4" s="119"/>
    </row>
    <row r="5" spans="1:35" ht="6.75" customHeight="1" x14ac:dyDescent="0.2">
      <c r="Q5" s="115"/>
      <c r="S5" s="3"/>
      <c r="AH5" s="71"/>
      <c r="AI5" s="119"/>
    </row>
    <row r="6" spans="1:35" ht="15.75" x14ac:dyDescent="0.25">
      <c r="B6" s="11" t="s">
        <v>134</v>
      </c>
      <c r="F6" s="72" t="str">
        <f>IF('Enrollment Input'!$E$16=0,"0",'Enrollment Input'!$E$16)</f>
        <v>0</v>
      </c>
      <c r="G6" s="28"/>
      <c r="H6" s="25"/>
      <c r="J6" s="155" t="str">
        <f>IF('Enrollment Input'!$E$16=0,"0",'Enrollment Input'!$E$16)</f>
        <v>0</v>
      </c>
      <c r="K6" s="155"/>
      <c r="L6" s="16" t="s">
        <v>43</v>
      </c>
      <c r="M6" s="110">
        <f>IF('Enrollment Input'!E16=0,0,LOOKUP(J6,criteria!$A$3:$A$10,criteria!$B$3:$B$10))</f>
        <v>0</v>
      </c>
      <c r="N6" s="14" t="s">
        <v>14</v>
      </c>
      <c r="O6" s="72">
        <f>IF(Q6=0,0,IF(Q6&lt;LOOKUP(J6,criteria!$A$3:$A$10,criteria!$C$3:$C$10),LOOKUP(J6,criteria!$A$3:$A$10,criteria!$C$3:$C$10),IF(LOOKUP(J6,criteria!$A$3:$A$10,criteria!$C$3:$C$10)=0,0,Q6)))</f>
        <v>0</v>
      </c>
      <c r="P6" s="84" t="str">
        <f>IF('Enrollment Input'!E16=0," ",IF(O6=0,"ADD to 1-6",IF(O6=Q6," ","Minimum")))</f>
        <v xml:space="preserve"> </v>
      </c>
      <c r="Q6" s="116">
        <f>ROUND(IF('Enrollment Input'!E16=0,0,IF(M6=0,0,(J6/M6))),2)</f>
        <v>0</v>
      </c>
      <c r="S6" s="3"/>
      <c r="T6" s="11" t="s">
        <v>134</v>
      </c>
      <c r="X6" s="72" t="str">
        <f>IF('Enrollment Input'!$E$16=0,"0",'Enrollment Input'!$E$16)</f>
        <v>0</v>
      </c>
      <c r="Z6" s="25"/>
      <c r="AA6" s="25"/>
      <c r="AB6" s="155" t="str">
        <f>IF('Enrollment Input'!$E$16=0,"0",'Enrollment Input'!$E$16)</f>
        <v>0</v>
      </c>
      <c r="AC6" s="155"/>
      <c r="AD6" s="86" t="s">
        <v>43</v>
      </c>
      <c r="AE6" s="110">
        <f>IF('Enrollment Input'!E16=0,0,LOOKUP(AB6,criteria!$A$3:$A$10,criteria!$B$3:$B$10))</f>
        <v>0</v>
      </c>
      <c r="AF6" s="79" t="s">
        <v>14</v>
      </c>
      <c r="AG6" s="72">
        <f>IF(AI6=0,0,IF(AI6&lt;LOOKUP(AB6,criteria!$A$3:$A$10,criteria!$C$3:$C$10),LOOKUP(AB6,criteria!$A$3:$A$10,criteria!$C$3:$C$10),IF(LOOKUP(AB6,criteria!$A$3:$A$10,criteria!$C$3:$C$10)=0,0,AI6)))</f>
        <v>0</v>
      </c>
      <c r="AH6" s="84" t="str">
        <f>IF('Enrollment Input'!E16=0," ",IF(AG6=0,"ADD to 1-6",IF(AG6=AI6," ","Minimum")))</f>
        <v xml:space="preserve"> </v>
      </c>
      <c r="AI6" s="120">
        <f>ROUND(IF('Enrollment Input'!E16=0,0,IF(AE6=0,0,(AB6/AE6))),2)</f>
        <v>0</v>
      </c>
    </row>
    <row r="7" spans="1:35" ht="6.75" customHeight="1" x14ac:dyDescent="0.2">
      <c r="B7" s="71"/>
      <c r="F7" s="25"/>
      <c r="G7" s="25"/>
      <c r="H7" s="25"/>
      <c r="J7" s="25"/>
      <c r="K7" s="25"/>
      <c r="M7" s="111"/>
      <c r="O7" s="25"/>
      <c r="P7" s="25"/>
      <c r="Q7" s="116"/>
      <c r="S7" s="3"/>
      <c r="X7" s="25"/>
      <c r="Z7" s="25"/>
      <c r="AA7" s="25"/>
      <c r="AB7" s="25"/>
      <c r="AC7" s="25"/>
      <c r="AD7" s="25"/>
      <c r="AE7" s="111"/>
      <c r="AF7" s="25"/>
      <c r="AG7" s="25"/>
      <c r="AH7" s="25"/>
      <c r="AI7" s="120"/>
    </row>
    <row r="8" spans="1:35" x14ac:dyDescent="0.2">
      <c r="B8" s="11" t="s">
        <v>51</v>
      </c>
      <c r="F8" s="25"/>
      <c r="G8" s="25"/>
      <c r="H8" s="25"/>
      <c r="J8" s="25"/>
      <c r="K8" s="25"/>
      <c r="M8" s="111"/>
      <c r="O8" s="25"/>
      <c r="P8" s="25"/>
      <c r="Q8" s="116"/>
      <c r="S8" s="3"/>
      <c r="T8" s="11" t="s">
        <v>51</v>
      </c>
      <c r="X8" s="25"/>
      <c r="Z8" s="25"/>
      <c r="AA8" s="25"/>
      <c r="AB8" s="25"/>
      <c r="AC8" s="25"/>
      <c r="AD8" s="25"/>
      <c r="AE8" s="111"/>
      <c r="AF8" s="25"/>
      <c r="AG8" s="25"/>
      <c r="AH8" s="25"/>
      <c r="AI8" s="120"/>
    </row>
    <row r="9" spans="1:35" x14ac:dyDescent="0.2">
      <c r="B9" s="10" t="s">
        <v>76</v>
      </c>
      <c r="F9" s="25"/>
      <c r="G9" s="25"/>
      <c r="H9" s="25"/>
      <c r="J9" s="25"/>
      <c r="K9" s="25"/>
      <c r="M9" s="111"/>
      <c r="O9" s="25"/>
      <c r="P9" s="25"/>
      <c r="Q9" s="116"/>
      <c r="S9" s="3"/>
      <c r="T9" s="10" t="s">
        <v>76</v>
      </c>
      <c r="X9" s="25"/>
      <c r="Z9" s="25"/>
      <c r="AA9" s="25"/>
      <c r="AB9" s="25"/>
      <c r="AC9" s="25"/>
      <c r="AD9" s="25"/>
      <c r="AE9" s="111"/>
      <c r="AF9" s="25"/>
      <c r="AG9" s="25"/>
      <c r="AH9" s="25"/>
      <c r="AI9" s="120"/>
    </row>
    <row r="10" spans="1:35" ht="16.5" customHeight="1" x14ac:dyDescent="0.25">
      <c r="B10" s="71"/>
      <c r="C10" s="12" t="s">
        <v>38</v>
      </c>
      <c r="F10" s="72" t="str">
        <f>IF(J10=0," ",IF($J$15&gt;300," ",'Enrollment Input'!E19))</f>
        <v xml:space="preserve"> </v>
      </c>
      <c r="G10" s="82" t="s">
        <v>82</v>
      </c>
      <c r="H10" s="72" t="str">
        <f>IF(J10=0," ",'Exceptional Child Calc'!$H$25)</f>
        <v xml:space="preserve"> </v>
      </c>
      <c r="I10" s="14" t="s">
        <v>14</v>
      </c>
      <c r="J10" s="155">
        <f>IF('Enrollment Input'!E19=0,0,IF(SUM('Enrollment Input'!E19-'Exceptional Child Calc'!H25)+SUM('Enrollment Input'!E20-'Exceptional Child Calc'!H26)&gt;299.99,SUM('Enrollment Input'!E19-'Exceptional Child Calc'!H25),0))</f>
        <v>0</v>
      </c>
      <c r="K10" s="155"/>
      <c r="L10" s="16" t="s">
        <v>43</v>
      </c>
      <c r="M10" s="110">
        <f>IF(SUM('Enrollment Input'!$E$19-'Exceptional Child Calc'!$H$25)+SUM('Enrollment Input'!$E$20-'Exceptional Child Calc'!$H$26)&gt;299.99,20,0)</f>
        <v>0</v>
      </c>
      <c r="N10" s="14" t="s">
        <v>14</v>
      </c>
      <c r="O10" s="72">
        <f>ROUND(IF(SUM('Enrollment Input'!$E$19-'Exceptional Child Calc'!$H$25)+SUM('Enrollment Input'!$E$20-'Exceptional Child Calc'!$H$26)&lt;300,0,IF(Q10+Q12&lt;15,0,(J10/M10))),2)</f>
        <v>0</v>
      </c>
      <c r="P10" s="25" t="str">
        <f>IF(O10=0," ",IF(O10=Q10," ","Minimum"))</f>
        <v xml:space="preserve"> </v>
      </c>
      <c r="Q10" s="116">
        <f>ROUND(IF(SUM('Enrollment Input'!$E$19-'Exceptional Child Calc'!$H$25)+SUM('Enrollment Input'!$E$20-'Exceptional Child Calc'!$H$26)&lt;300,0,(J10/M10)),2)</f>
        <v>0</v>
      </c>
      <c r="S10" s="3"/>
      <c r="U10" s="12" t="s">
        <v>38</v>
      </c>
      <c r="X10" s="83" t="str">
        <f>IF(AB10=0," ",IF($AB$15&gt;300," ",'Enrollment Input'!E19))</f>
        <v xml:space="preserve"> </v>
      </c>
      <c r="Y10" s="23" t="s">
        <v>82</v>
      </c>
      <c r="Z10" s="72" t="str">
        <f>IF(AB10=0," ",'Exceptional Child Calc'!$H$25)</f>
        <v xml:space="preserve"> </v>
      </c>
      <c r="AA10" s="79" t="s">
        <v>14</v>
      </c>
      <c r="AB10" s="155">
        <f>IF('Enrollment Input'!E19=0,0,IF(SUM('Enrollment Input'!E19-'Exceptional Child Calc'!H25)+SUM('Enrollment Input'!E20-'Exceptional Child Calc'!H26)&gt;299.99,SUM('Enrollment Input'!E19-'Exceptional Child Calc'!H25),0))</f>
        <v>0</v>
      </c>
      <c r="AC10" s="155"/>
      <c r="AD10" s="86" t="s">
        <v>43</v>
      </c>
      <c r="AE10" s="110">
        <f>IF(SUM('Enrollment Input'!$E$19-'Exceptional Child Calc'!$H$25)+SUM('Enrollment Input'!$E$20-'Exceptional Child Calc'!$H$26)&gt;299.99,20,0)</f>
        <v>0</v>
      </c>
      <c r="AF10" s="79" t="s">
        <v>14</v>
      </c>
      <c r="AG10" s="72">
        <f>ROUND(IF(SUM('Enrollment Input'!$E$19-'Exceptional Child Calc'!$H$25)+SUM('Enrollment Input'!$E$20-'Exceptional Child Calc'!$H$26)&lt;299.99,0,IF(AI10+AI12&lt;15,0,(AB10/AE10))),2)</f>
        <v>0</v>
      </c>
      <c r="AH10" s="25" t="str">
        <f>IF(AG10=0," ",IF(AG10=AI10," ","Minimum"))</f>
        <v xml:space="preserve"> </v>
      </c>
      <c r="AI10" s="120">
        <f>ROUND(IF(SUM('Enrollment Input'!$E$19-'Exceptional Child Calc'!$H$25)+SUM('Enrollment Input'!$E$20-'Exceptional Child Calc'!$H$26)&lt;299.99,0,(AB10/AE10)),2)</f>
        <v>0</v>
      </c>
    </row>
    <row r="11" spans="1:35" ht="9" customHeight="1" x14ac:dyDescent="0.2">
      <c r="B11" s="12"/>
      <c r="F11" s="25"/>
      <c r="G11" s="25"/>
      <c r="H11" s="25"/>
      <c r="J11" s="25"/>
      <c r="K11" s="25"/>
      <c r="M11" s="111"/>
      <c r="O11" s="25"/>
      <c r="P11" s="25"/>
      <c r="Q11" s="116"/>
      <c r="S11" s="3"/>
      <c r="T11" s="12"/>
      <c r="X11" s="25"/>
      <c r="Z11" s="25"/>
      <c r="AA11" s="25"/>
      <c r="AB11" s="25"/>
      <c r="AC11" s="25"/>
      <c r="AD11" s="25"/>
      <c r="AE11" s="111"/>
      <c r="AF11" s="25"/>
      <c r="AG11" s="25"/>
      <c r="AH11" s="25"/>
      <c r="AI11" s="120"/>
    </row>
    <row r="12" spans="1:35" ht="15.75" x14ac:dyDescent="0.25">
      <c r="B12" s="71"/>
      <c r="C12" s="12" t="s">
        <v>39</v>
      </c>
      <c r="F12" s="83" t="str">
        <f>IF(J12=0," ",IF($J$15&gt;300," ",'Enrollment Input'!E20))</f>
        <v xml:space="preserve"> </v>
      </c>
      <c r="G12" s="82" t="s">
        <v>82</v>
      </c>
      <c r="H12" s="72" t="str">
        <f>IF(J12=0," ",'Exceptional Child Calc'!H26)</f>
        <v xml:space="preserve"> </v>
      </c>
      <c r="I12" s="14" t="s">
        <v>14</v>
      </c>
      <c r="J12" s="155">
        <f>IF('Enrollment Input'!E20=0,0,IF(SUM('Enrollment Input'!E19-'Exceptional Child Calc'!H25)+SUM('Enrollment Input'!E20-'Exceptional Child Calc'!H26)&gt;299.99,SUM('Enrollment Input'!E20-'Exceptional Child Calc'!H26),0))</f>
        <v>0</v>
      </c>
      <c r="K12" s="155"/>
      <c r="L12" s="16" t="s">
        <v>43</v>
      </c>
      <c r="M12" s="110">
        <f>IF(SUM('Enrollment Input'!$E$19-'Exceptional Child Calc'!$H$25)+SUM('Enrollment Input'!$E$20-'Exceptional Child Calc'!$H$26)&gt;299.99,23,0)</f>
        <v>0</v>
      </c>
      <c r="N12" s="14" t="s">
        <v>14</v>
      </c>
      <c r="O12" s="72">
        <f>ROUND(IF(SUM('Enrollment Input'!$E$19-'Exceptional Child Calc'!$H$25)+SUM('Enrollment Input'!$E$20-'Exceptional Child Calc'!$H$26)&lt;300,0,IF(Q10+Q12&lt;15,0,($J$12/$M$12))),2)</f>
        <v>0</v>
      </c>
      <c r="P12" s="25" t="str">
        <f>IF(O12=0," ",IF(O12=Q12," ","Minimum"))</f>
        <v xml:space="preserve"> </v>
      </c>
      <c r="Q12" s="116">
        <f>ROUND(IF(SUM('Enrollment Input'!$E$19-'Exceptional Child Calc'!$H$25)+SUM('Enrollment Input'!$E$20-'Exceptional Child Calc'!$H$26)&lt;300,0,($J$12/$M$12)),2)</f>
        <v>0</v>
      </c>
      <c r="S12" s="3"/>
      <c r="U12" s="12" t="s">
        <v>39</v>
      </c>
      <c r="X12" s="72" t="str">
        <f>IF(AB12=0," ",IF($AB$15&gt;300," ",'Enrollment Input'!E20))</f>
        <v xml:space="preserve"> </v>
      </c>
      <c r="Y12" s="23" t="s">
        <v>82</v>
      </c>
      <c r="Z12" s="72" t="str">
        <f>IF(AB12=0," ",'Exceptional Child Calc'!H26)</f>
        <v xml:space="preserve"> </v>
      </c>
      <c r="AA12" s="79" t="s">
        <v>14</v>
      </c>
      <c r="AB12" s="155">
        <f>IF('Enrollment Input'!E20=0,0,IF(SUM('Enrollment Input'!E19-'Exceptional Child Calc'!H25)+SUM('Enrollment Input'!E20-'Exceptional Child Calc'!H26)&gt;299.99,SUM('Enrollment Input'!E20-'Exceptional Child Calc'!H26),0))</f>
        <v>0</v>
      </c>
      <c r="AC12" s="155"/>
      <c r="AD12" s="86" t="s">
        <v>43</v>
      </c>
      <c r="AE12" s="110">
        <f>IF(SUM('Enrollment Input'!$E$19-'Exceptional Child Calc'!$H$25)+SUM('Enrollment Input'!$E$20-'Exceptional Child Calc'!$H$26)&gt;299.99,23,0)</f>
        <v>0</v>
      </c>
      <c r="AF12" s="79" t="s">
        <v>14</v>
      </c>
      <c r="AG12" s="72">
        <f>ROUND(IF(SUM('Enrollment Input'!$E$19-'Exceptional Child Calc'!$H$25)+SUM('Enrollment Input'!$E$20-'Exceptional Child Calc'!$H$26)&lt;299.99,0,IF(AI10+AI12&lt;15,0,(AB12/AE12))),2)</f>
        <v>0</v>
      </c>
      <c r="AH12" s="25" t="str">
        <f>IF(AG12=0," ",IF(AG12=AI12," ","Minimum"))</f>
        <v xml:space="preserve"> </v>
      </c>
      <c r="AI12" s="120">
        <f>ROUND(IF(SUM('Enrollment Input'!$E$19-'Exceptional Child Calc'!$H$25)+SUM('Enrollment Input'!$E$20-'Exceptional Child Calc'!$H$26)&lt;299.99,0,(AB12/AE12)),2)</f>
        <v>0</v>
      </c>
    </row>
    <row r="13" spans="1:35" ht="17.25" customHeight="1" x14ac:dyDescent="0.2">
      <c r="B13" s="11" t="s">
        <v>51</v>
      </c>
      <c r="F13" s="28"/>
      <c r="G13" s="82"/>
      <c r="H13" s="28"/>
      <c r="I13" s="14"/>
      <c r="J13" s="28"/>
      <c r="K13" s="28"/>
      <c r="M13" s="112"/>
      <c r="N13" s="14"/>
      <c r="O13" s="79" t="str">
        <f>IF(P13="Minimum",15," ")</f>
        <v xml:space="preserve"> </v>
      </c>
      <c r="P13" s="25" t="str">
        <f>IF(Q10+Q12=0," ",IF(Q10+Q12&lt;15,"Minimum"," "))</f>
        <v xml:space="preserve"> </v>
      </c>
      <c r="Q13" s="116"/>
      <c r="S13" s="3"/>
      <c r="T13" s="11" t="s">
        <v>51</v>
      </c>
      <c r="X13" s="25"/>
      <c r="Z13" s="25"/>
      <c r="AA13" s="25"/>
      <c r="AB13" s="25"/>
      <c r="AC13" s="25"/>
      <c r="AD13" s="25"/>
      <c r="AE13" s="111"/>
      <c r="AF13" s="25"/>
      <c r="AG13" s="79" t="str">
        <f>IF(AH13="Minimum",15," ")</f>
        <v xml:space="preserve"> </v>
      </c>
      <c r="AH13" s="25" t="str">
        <f>IF(AI10+AI12=0," ",IF(AI10+AI12&lt;15,"Minimum"," "))</f>
        <v xml:space="preserve"> </v>
      </c>
      <c r="AI13" s="120"/>
    </row>
    <row r="14" spans="1:35" x14ac:dyDescent="0.2">
      <c r="B14" s="10" t="s">
        <v>92</v>
      </c>
      <c r="F14" s="25"/>
      <c r="G14" s="25"/>
      <c r="H14" s="25"/>
      <c r="M14" s="111"/>
      <c r="Q14" s="116"/>
      <c r="S14" s="3"/>
      <c r="T14" s="10" t="s">
        <v>92</v>
      </c>
      <c r="X14" s="25"/>
      <c r="Z14" s="25"/>
      <c r="AA14" s="25"/>
      <c r="AB14" s="25"/>
      <c r="AC14" s="25"/>
      <c r="AD14" s="25"/>
      <c r="AE14" s="111"/>
      <c r="AF14" s="25"/>
      <c r="AG14" s="25"/>
      <c r="AH14" s="25"/>
      <c r="AI14" s="120"/>
    </row>
    <row r="15" spans="1:35" ht="15.75" x14ac:dyDescent="0.25">
      <c r="B15" s="71"/>
      <c r="C15" s="12" t="s">
        <v>40</v>
      </c>
      <c r="F15" s="72" t="str">
        <f>IF(J15=0," ",IF(J15&lt;300,SUM('Enrollment Input'!E19+'Enrollment Input'!E20)," "))</f>
        <v xml:space="preserve"> </v>
      </c>
      <c r="G15" s="82" t="s">
        <v>82</v>
      </c>
      <c r="H15" s="72" t="str">
        <f>IF(J15=0," ",'Exceptional Child Calc'!H22)</f>
        <v xml:space="preserve"> </v>
      </c>
      <c r="I15" s="14" t="s">
        <v>14</v>
      </c>
      <c r="J15" s="155">
        <f>IF('Enrollment Input'!E19+'Enrollment Input'!E20=0,0,IF(SUM('Enrollment Input'!E19-'Exceptional Child Calc'!H25)+SUM('Enrollment Input'!E20-'Exceptional Child Calc'!H26)&lt;300,IF(P6="ADD to 1-6",SUM('Enrollment Input'!E19-'Exceptional Child Calc'!H25)+SUM('Enrollment Input'!E20-'Exceptional Child Calc'!H26)+'Enrollment Input'!E16,SUM('Enrollment Input'!E19-'Exceptional Child Calc'!H25)+SUM('Enrollment Input'!E20-'Exceptional Child Calc'!H26)),0))</f>
        <v>0</v>
      </c>
      <c r="K15" s="155"/>
      <c r="L15" s="16" t="s">
        <v>43</v>
      </c>
      <c r="M15" s="110">
        <f>IF(J15=0,0,LOOKUP(J15,criteria!$M$3:$M$11,criteria!$N$3:$N$11))</f>
        <v>0</v>
      </c>
      <c r="N15" s="14" t="s">
        <v>14</v>
      </c>
      <c r="O15" s="72">
        <f>IF(Q15=0,0,IF(Q15&lt;LOOKUP(J15,criteria!$M$3:$M$10,criteria!$O$3:$O$10),LOOKUP(J15,criteria!$M$3:$M$10,criteria!$O$3:$O$10),Q15))</f>
        <v>0</v>
      </c>
      <c r="P15" s="25" t="str">
        <f>IF(O15=0," ",IF(O15=Q15," ","Minimum"))</f>
        <v xml:space="preserve"> </v>
      </c>
      <c r="Q15" s="116">
        <f>ROUND(IF('Enrollment Input'!E19+'Enrollment Input'!E20=0,0,IF(SUM('Enrollment Input'!$E$19-'Exceptional Child Calc'!$H$25)+SUM('Enrollment Input'!$E$20-'Exceptional Child Calc'!$H$26)&gt;299.99,0,(AB15/AE15))),2)</f>
        <v>0</v>
      </c>
      <c r="S15" s="3"/>
      <c r="U15" s="12" t="s">
        <v>40</v>
      </c>
      <c r="X15" s="72" t="str">
        <f>IF(AB15=0," ",IF(AB15&lt;300,SUM('Enrollment Input'!E19+'Enrollment Input'!E20)," "))</f>
        <v xml:space="preserve"> </v>
      </c>
      <c r="Y15" s="23" t="s">
        <v>82</v>
      </c>
      <c r="Z15" s="72" t="str">
        <f>IF(AB15=0," ",'Exceptional Child Calc'!H22)</f>
        <v xml:space="preserve"> </v>
      </c>
      <c r="AA15" s="79" t="s">
        <v>14</v>
      </c>
      <c r="AB15" s="155">
        <f>IF('Enrollment Input'!E19+'Enrollment Input'!E20=0,0,IF(SUM('Enrollment Input'!E19-'Exceptional Child Calc'!H25)+SUM('Enrollment Input'!E20-'Exceptional Child Calc'!H26)&lt;300,IF(AH6="ADD to 1-6",SUM('Enrollment Input'!E19-'Exceptional Child Calc'!H25)+SUM('Enrollment Input'!E20-'Exceptional Child Calc'!H26)+'Enrollment Input'!E16,SUM('Enrollment Input'!E19-'Exceptional Child Calc'!H25)+SUM('Enrollment Input'!E20-'Exceptional Child Calc'!H26)),0))</f>
        <v>0</v>
      </c>
      <c r="AC15" s="155"/>
      <c r="AD15" s="86" t="s">
        <v>43</v>
      </c>
      <c r="AE15" s="110">
        <f>IF(AB15=0,0,LOOKUP(AB15,criteria!$M$3:$M$11,criteria!$N$3:$N$11))</f>
        <v>0</v>
      </c>
      <c r="AF15" s="79" t="s">
        <v>14</v>
      </c>
      <c r="AG15" s="72">
        <f>IF(AI15=0,0,IF(AI15&lt;LOOKUP(AB15,criteria!$M$3:$M$10,criteria!$O$3:$O$10),LOOKUP(AB15,criteria!$M$3:$M$10,criteria!$O$3:$O$10),AI15))</f>
        <v>0</v>
      </c>
      <c r="AH15" s="25" t="str">
        <f>IF(AG15=0," ",IF(AG15=AI15," ","Minimum"))</f>
        <v xml:space="preserve"> </v>
      </c>
      <c r="AI15" s="120">
        <f>ROUND(IF('Enrollment Input'!E19+'Enrollment Input'!E20=0,0,IF(SUM('Enrollment Input'!$E$19-'Exceptional Child Calc'!$H$25)+SUM('Enrollment Input'!$E$20-'Exceptional Child Calc'!$H$26)&gt;299.99,0,(AB15/AE15))),2)</f>
        <v>0</v>
      </c>
    </row>
    <row r="16" spans="1:35" ht="6" customHeight="1" x14ac:dyDescent="0.2">
      <c r="B16" s="71"/>
      <c r="F16" s="25"/>
      <c r="G16" s="25"/>
      <c r="H16" s="25"/>
      <c r="J16" s="25"/>
      <c r="K16" s="25"/>
      <c r="M16" s="111"/>
      <c r="O16" s="25"/>
      <c r="P16" s="25"/>
      <c r="Q16" s="116"/>
      <c r="S16" s="3"/>
      <c r="X16" s="25"/>
      <c r="Z16" s="25"/>
      <c r="AA16" s="25"/>
      <c r="AB16" s="25"/>
      <c r="AC16" s="25"/>
      <c r="AD16" s="25"/>
      <c r="AE16" s="111"/>
      <c r="AF16" s="25"/>
      <c r="AG16" s="25"/>
      <c r="AH16" s="25"/>
      <c r="AI16" s="120"/>
    </row>
    <row r="17" spans="1:35" ht="15.75" x14ac:dyDescent="0.25">
      <c r="B17" s="11" t="s">
        <v>52</v>
      </c>
      <c r="F17" s="72" t="str">
        <f>IF(J17=0," ",'Enrollment Input'!E22)</f>
        <v xml:space="preserve"> </v>
      </c>
      <c r="G17" s="82" t="s">
        <v>82</v>
      </c>
      <c r="H17" s="72" t="str">
        <f>IF('Exceptional Child Calc'!$H$43=0," ",'Exceptional Child Calc'!$H$43)</f>
        <v xml:space="preserve"> </v>
      </c>
      <c r="I17" s="14" t="s">
        <v>14</v>
      </c>
      <c r="J17" s="155">
        <f>IF('Enrollment Input'!E22=0,0,SUM('Enrollment Input'!E22-'Exceptional Child Calc'!H43))</f>
        <v>0</v>
      </c>
      <c r="K17" s="155"/>
      <c r="L17" s="16" t="s">
        <v>43</v>
      </c>
      <c r="M17" s="110">
        <f>IF('Enrollment Input'!C22=0,0,IF(J17&gt;99.99,LOOKUP(J17,criteria!Q3:Q10,criteria!R3:R10),LOOKUP('Enrollment Input'!F23,criteria!Y3:Y5,criteria!Z3:Z5)))</f>
        <v>0</v>
      </c>
      <c r="N17" s="14" t="s">
        <v>14</v>
      </c>
      <c r="O17" s="72">
        <f>ROUND(IF(J17=0,0,IF(J17&lt;99.99,IF(M17=0,8,(J17/M17)),IF(Q17&lt;LOOKUP(J17,criteria!$Q$3:$Q$10,criteria!$S$3:$S$10),LOOKUP(J17,criteria!$Q$3:$Q$10,criteria!$S$3:$S$10),Q17))),2)</f>
        <v>0</v>
      </c>
      <c r="P17" s="25" t="str">
        <f>IF(O17=0," ",IF(O17=Q17," ","Minimum"))</f>
        <v xml:space="preserve"> </v>
      </c>
      <c r="Q17" s="116">
        <f>ROUND(IF(M17=0,0,(J17/M17)),2)</f>
        <v>0</v>
      </c>
      <c r="S17" s="3"/>
      <c r="T17" s="11" t="s">
        <v>52</v>
      </c>
      <c r="X17" s="83" t="str">
        <f>IF(AB17=0," ",'Enrollment Input'!E22)</f>
        <v xml:space="preserve"> </v>
      </c>
      <c r="Y17" s="23" t="s">
        <v>82</v>
      </c>
      <c r="Z17" s="87"/>
      <c r="AA17" s="79" t="s">
        <v>14</v>
      </c>
      <c r="AB17" s="155">
        <f>IF('Enrollment Input'!$E$22=0,0,'Enrollment Input'!$E$22)</f>
        <v>0</v>
      </c>
      <c r="AC17" s="155"/>
      <c r="AD17" s="86" t="s">
        <v>43</v>
      </c>
      <c r="AE17" s="110">
        <f>IF('Enrollment Input'!C22=0,0,IF(AB17&gt;99.99,LOOKUP(AB17,criteria!Q3:Q10,criteria!R3:R10),LOOKUP('Enrollment Input'!F23,criteria!Y3:Y5,criteria!Z3:Z5)))</f>
        <v>0</v>
      </c>
      <c r="AF17" s="79" t="s">
        <v>14</v>
      </c>
      <c r="AG17" s="72">
        <f>ROUND(IF(AB17=0,0,IF(AB17&lt;99.99,IF(AE17=0,8,(AB17/AE17)),IF(AI17&lt;LOOKUP(AB17,criteria!$Q$3:$Q$10,criteria!$S$3:$S$10),LOOKUP(AB17,criteria!$Q$3:$Q$10,criteria!$S$3:$S$10),AI17))),2)</f>
        <v>0</v>
      </c>
      <c r="AH17" s="25" t="str">
        <f>IF(AG17=0," ",IF(AG17=AI17," ","Minimum"))</f>
        <v xml:space="preserve"> </v>
      </c>
      <c r="AI17" s="120">
        <f>ROUND(IF(AE17=0,0,(AB17/AE17)),2)</f>
        <v>0</v>
      </c>
    </row>
    <row r="18" spans="1:35" ht="9" customHeight="1" x14ac:dyDescent="0.2">
      <c r="B18" s="11"/>
      <c r="F18" s="15"/>
      <c r="G18" s="23"/>
      <c r="H18" s="28"/>
      <c r="I18" s="14"/>
      <c r="J18" s="28"/>
      <c r="K18" s="28"/>
      <c r="M18" s="112"/>
      <c r="N18" s="14"/>
      <c r="O18" s="28"/>
      <c r="P18" s="25"/>
      <c r="Q18" s="116"/>
      <c r="S18" s="3"/>
      <c r="T18" s="11"/>
      <c r="Z18" s="25"/>
      <c r="AA18" s="25"/>
      <c r="AB18" s="28"/>
      <c r="AC18" s="28"/>
      <c r="AD18" s="25"/>
      <c r="AE18" s="112"/>
      <c r="AF18" s="79"/>
      <c r="AG18" s="28"/>
      <c r="AH18" s="25"/>
      <c r="AI18" s="120"/>
    </row>
    <row r="19" spans="1:35" ht="15" x14ac:dyDescent="0.2">
      <c r="A19" s="7" t="s">
        <v>63</v>
      </c>
      <c r="J19" s="25"/>
      <c r="K19" s="25"/>
      <c r="M19" s="111"/>
      <c r="O19" s="25"/>
      <c r="P19" s="25"/>
      <c r="Q19" s="116"/>
      <c r="S19" s="7" t="s">
        <v>63</v>
      </c>
      <c r="Z19" s="25"/>
      <c r="AA19" s="25"/>
      <c r="AB19" s="25"/>
      <c r="AC19" s="25"/>
      <c r="AD19" s="25"/>
      <c r="AE19" s="111"/>
      <c r="AF19" s="25"/>
      <c r="AG19" s="25"/>
      <c r="AH19" s="25"/>
      <c r="AI19" s="120"/>
    </row>
    <row r="20" spans="1:35" ht="3.75" customHeight="1" x14ac:dyDescent="0.2">
      <c r="J20" s="25"/>
      <c r="K20" s="25"/>
      <c r="M20" s="111"/>
      <c r="O20" s="25"/>
      <c r="P20" s="25"/>
      <c r="Q20" s="116"/>
      <c r="S20" s="3"/>
      <c r="Z20" s="25"/>
      <c r="AA20" s="25"/>
      <c r="AB20" s="25"/>
      <c r="AC20" s="25"/>
      <c r="AD20" s="25"/>
      <c r="AE20" s="111"/>
      <c r="AF20" s="25"/>
      <c r="AG20" s="25"/>
      <c r="AH20" s="25"/>
      <c r="AI20" s="120"/>
    </row>
    <row r="21" spans="1:35" x14ac:dyDescent="0.2">
      <c r="B21" t="s">
        <v>79</v>
      </c>
      <c r="J21" s="155" t="str">
        <f>IF('Exceptional Child Calc'!H55=0," ",'Exceptional Child Calc'!H55)</f>
        <v xml:space="preserve"> </v>
      </c>
      <c r="K21" s="155"/>
      <c r="M21" s="111"/>
      <c r="O21" s="25"/>
      <c r="P21" s="25"/>
      <c r="Q21" s="116"/>
      <c r="S21" s="3"/>
      <c r="T21" s="71" t="s">
        <v>79</v>
      </c>
      <c r="Z21" s="25"/>
      <c r="AA21" s="25"/>
      <c r="AB21" s="158" t="str">
        <f>IF('Exceptional Child Calc'!H55=0," ",'Exceptional Child Calc'!H55)</f>
        <v xml:space="preserve"> </v>
      </c>
      <c r="AC21" s="158"/>
      <c r="AD21" s="25"/>
      <c r="AE21" s="111"/>
      <c r="AF21" s="25"/>
      <c r="AG21" s="25"/>
      <c r="AH21" s="25"/>
      <c r="AI21" s="120"/>
    </row>
    <row r="22" spans="1:35" ht="9" customHeight="1" x14ac:dyDescent="0.2">
      <c r="J22" s="25"/>
      <c r="K22" s="25"/>
      <c r="M22" s="111"/>
      <c r="O22" s="25"/>
      <c r="P22" s="25"/>
      <c r="Q22" s="116"/>
      <c r="S22" s="3"/>
      <c r="Z22" s="25"/>
      <c r="AA22" s="25"/>
      <c r="AB22" s="25"/>
      <c r="AC22" s="25"/>
      <c r="AD22" s="25"/>
      <c r="AE22" s="111"/>
      <c r="AF22" s="25"/>
      <c r="AG22" s="25"/>
      <c r="AH22" s="25"/>
      <c r="AI22" s="120"/>
    </row>
    <row r="23" spans="1:35" x14ac:dyDescent="0.2">
      <c r="B23" t="s">
        <v>80</v>
      </c>
      <c r="J23" s="155" t="str">
        <f>IF('Exceptional Child Calc'!H22=0," ",'Exceptional Child Calc'!H22)</f>
        <v xml:space="preserve"> </v>
      </c>
      <c r="K23" s="155"/>
      <c r="M23" s="111"/>
      <c r="O23" s="25"/>
      <c r="P23" s="25"/>
      <c r="Q23" s="116"/>
      <c r="S23" s="3"/>
      <c r="T23" s="71" t="s">
        <v>80</v>
      </c>
      <c r="Z23" s="25"/>
      <c r="AA23" s="25"/>
      <c r="AB23" s="155" t="str">
        <f>IF('Exceptional Child Calc'!H22=0," ",'Exceptional Child Calc'!H22)</f>
        <v xml:space="preserve"> </v>
      </c>
      <c r="AC23" s="155"/>
      <c r="AD23" s="25"/>
      <c r="AE23" s="111"/>
      <c r="AF23" s="25"/>
      <c r="AG23" s="25"/>
      <c r="AH23" s="25"/>
      <c r="AI23" s="120"/>
    </row>
    <row r="24" spans="1:35" ht="9" customHeight="1" x14ac:dyDescent="0.2">
      <c r="J24" s="25"/>
      <c r="K24" s="25"/>
      <c r="M24" s="111"/>
      <c r="O24" s="25"/>
      <c r="P24" s="25"/>
      <c r="Q24" s="116"/>
      <c r="S24" s="3"/>
      <c r="Z24" s="25"/>
      <c r="AA24" s="25"/>
      <c r="AB24" s="25"/>
      <c r="AC24" s="25"/>
      <c r="AD24" s="25"/>
      <c r="AE24" s="111"/>
      <c r="AF24" s="25"/>
      <c r="AG24" s="25"/>
      <c r="AH24" s="25"/>
      <c r="AI24" s="120"/>
    </row>
    <row r="25" spans="1:35" x14ac:dyDescent="0.2">
      <c r="B25" t="s">
        <v>81</v>
      </c>
      <c r="J25" s="155" t="str">
        <f>IF('Exceptional Child Calc'!$H$43=0," ",'Exceptional Child Calc'!$H$43)</f>
        <v xml:space="preserve"> </v>
      </c>
      <c r="K25" s="155"/>
      <c r="M25" s="111"/>
      <c r="O25" s="25"/>
      <c r="P25" s="25"/>
      <c r="Q25" s="116"/>
      <c r="S25" s="3"/>
      <c r="T25" s="71" t="s">
        <v>81</v>
      </c>
      <c r="Z25" s="25"/>
      <c r="AA25" s="25"/>
      <c r="AB25" s="155">
        <f>0</f>
        <v>0</v>
      </c>
      <c r="AC25" s="155"/>
      <c r="AD25" s="25"/>
      <c r="AE25" s="111"/>
      <c r="AF25" s="25"/>
      <c r="AG25" s="25"/>
      <c r="AH25" s="25"/>
      <c r="AI25" s="120"/>
    </row>
    <row r="26" spans="1:35" ht="8.25" customHeight="1" x14ac:dyDescent="0.2">
      <c r="J26" s="25"/>
      <c r="K26" s="25"/>
      <c r="M26" s="111"/>
      <c r="O26" s="25"/>
      <c r="P26" s="25"/>
      <c r="Q26" s="116"/>
      <c r="S26" s="3"/>
      <c r="Z26" s="25"/>
      <c r="AA26" s="25"/>
      <c r="AB26" s="25"/>
      <c r="AC26" s="25"/>
      <c r="AD26" s="25"/>
      <c r="AE26" s="111"/>
      <c r="AF26" s="25"/>
      <c r="AG26" s="25"/>
      <c r="AH26" s="25"/>
      <c r="AI26" s="120"/>
    </row>
    <row r="27" spans="1:35" x14ac:dyDescent="0.2">
      <c r="B27" t="s">
        <v>42</v>
      </c>
      <c r="J27" s="155" t="str">
        <f>IF('Enrollment Input'!E60=0," ",'Enrollment Input'!E60)</f>
        <v xml:space="preserve"> </v>
      </c>
      <c r="K27" s="155"/>
      <c r="M27" s="111"/>
      <c r="O27" s="25"/>
      <c r="P27" s="25"/>
      <c r="Q27" s="116"/>
      <c r="S27" s="3"/>
      <c r="T27" s="71" t="s">
        <v>42</v>
      </c>
      <c r="Z27" s="25"/>
      <c r="AA27" s="25"/>
      <c r="AB27" s="155" t="str">
        <f>IF('Enrollment Input'!E60=0," ",'Enrollment Input'!E60)</f>
        <v xml:space="preserve"> </v>
      </c>
      <c r="AC27" s="155"/>
      <c r="AD27" s="25"/>
      <c r="AE27" s="111"/>
      <c r="AF27" s="25"/>
      <c r="AG27" s="25"/>
      <c r="AH27" s="25"/>
      <c r="AI27" s="120"/>
    </row>
    <row r="28" spans="1:35" ht="6" customHeight="1" x14ac:dyDescent="0.2">
      <c r="J28" s="28"/>
      <c r="K28" s="28"/>
      <c r="M28" s="111"/>
      <c r="O28" s="25"/>
      <c r="P28" s="25"/>
      <c r="Q28" s="116"/>
      <c r="S28" s="3"/>
      <c r="Z28" s="25"/>
      <c r="AA28" s="25"/>
      <c r="AB28" s="28"/>
      <c r="AC28" s="28"/>
      <c r="AD28" s="25"/>
      <c r="AE28" s="111"/>
      <c r="AF28" s="25"/>
      <c r="AG28" s="25"/>
      <c r="AH28" s="25"/>
      <c r="AI28" s="120"/>
    </row>
    <row r="29" spans="1:35" ht="16.5" thickBot="1" x14ac:dyDescent="0.3">
      <c r="B29" s="1" t="s">
        <v>83</v>
      </c>
      <c r="J29" s="159">
        <f>SUM(J21:K27)</f>
        <v>0</v>
      </c>
      <c r="K29" s="159"/>
      <c r="L29" s="16" t="s">
        <v>43</v>
      </c>
      <c r="M29" s="110">
        <f>IF(SUM('Enrollment Input'!E16+'Enrollment Input'!E19+'Enrollment Input'!E20+'Enrollment Input'!E22)=0,0,IF(J29&gt;=14,LOOKUP(J29,criteria!$U$3:$U$10,criteria!$V$3:$V$10),0))</f>
        <v>0</v>
      </c>
      <c r="N29" s="14" t="s">
        <v>14</v>
      </c>
      <c r="O29" s="72">
        <f>IF(J29=0,0,IF(Q29&lt;LOOKUP(J29,criteria!$U$3:$U$10,criteria!$W$3:$W$10),LOOKUP(J29,criteria!$U$3:$U$10,criteria!$W$3:$W$10),Q29))</f>
        <v>0</v>
      </c>
      <c r="P29" s="25" t="str">
        <f>IF(O29=0," ",IF(O29=Q29," ","Minimum"))</f>
        <v xml:space="preserve"> </v>
      </c>
      <c r="Q29" s="116">
        <f>ROUND(IF(SUM('Enrollment Input'!E16+'Enrollment Input'!E19+'Enrollment Input'!E20+'Enrollment Input'!E22)=0,0,IF(M29=0,0,(J29/M29))),2)</f>
        <v>0</v>
      </c>
      <c r="S29" s="3"/>
      <c r="T29" s="1" t="s">
        <v>83</v>
      </c>
      <c r="Z29" s="25"/>
      <c r="AA29" s="25"/>
      <c r="AB29" s="159">
        <f>SUM(AB21:AC27)</f>
        <v>0</v>
      </c>
      <c r="AC29" s="159"/>
      <c r="AD29" s="86" t="s">
        <v>43</v>
      </c>
      <c r="AE29" s="110">
        <f>IF(SUM('Enrollment Input'!E16:E22)=0,0,IF(AB29&gt;=14,LOOKUP(AB29,criteria!$U$3:$U$10,criteria!$V$3:$V$10),0))</f>
        <v>0</v>
      </c>
      <c r="AF29" s="79" t="s">
        <v>14</v>
      </c>
      <c r="AG29" s="72">
        <f>IF(AB29=0,0,IF(AI29&lt;LOOKUP(AB29,criteria!$U$3:$U$10,criteria!$W$3:$W$10),LOOKUP(AB29,criteria!$U$3:$U$10,criteria!$W$3:$W$10),AI29))</f>
        <v>0</v>
      </c>
      <c r="AH29" s="25" t="str">
        <f>IF(AG29=0," ",IF(AG29=AI29," ","Minimum"))</f>
        <v xml:space="preserve"> </v>
      </c>
      <c r="AI29" s="120">
        <f>ROUND(IF(SUM('Enrollment Input'!E16:E22)=0,0,IF(AE29=0,0,(AB29/AE29))),2)</f>
        <v>0</v>
      </c>
    </row>
    <row r="30" spans="1:35" ht="21" customHeight="1" thickTop="1" x14ac:dyDescent="0.25">
      <c r="B30" s="29"/>
      <c r="C30" s="29"/>
      <c r="D30" s="29"/>
      <c r="E30" s="29"/>
      <c r="F30" s="29"/>
      <c r="G30" s="29"/>
      <c r="H30" s="29"/>
      <c r="J30" s="12"/>
      <c r="M30" s="111"/>
      <c r="N30" s="14"/>
      <c r="O30" s="28"/>
      <c r="P30" s="85"/>
      <c r="Q30" s="116"/>
      <c r="S30" s="3"/>
      <c r="T30" s="1"/>
      <c r="Z30" s="25"/>
      <c r="AA30" s="25"/>
      <c r="AB30" s="28"/>
      <c r="AC30" s="28"/>
      <c r="AD30" s="86"/>
      <c r="AE30" s="112"/>
      <c r="AF30" s="79"/>
      <c r="AG30" s="28"/>
      <c r="AH30" s="25"/>
      <c r="AI30" s="120"/>
    </row>
    <row r="31" spans="1:35" ht="15.75" x14ac:dyDescent="0.25">
      <c r="A31" s="4" t="s">
        <v>41</v>
      </c>
      <c r="M31" s="111"/>
      <c r="O31" s="25"/>
      <c r="P31" s="25"/>
      <c r="Q31" s="116"/>
      <c r="S31" s="4" t="s">
        <v>41</v>
      </c>
      <c r="Z31" s="25"/>
      <c r="AA31" s="25"/>
      <c r="AB31" s="25"/>
      <c r="AC31" s="25"/>
      <c r="AD31" s="25"/>
      <c r="AE31" s="111"/>
      <c r="AF31" s="25"/>
      <c r="AG31" s="25"/>
      <c r="AH31" s="25"/>
      <c r="AI31" s="120"/>
    </row>
    <row r="32" spans="1:35" ht="7.5" customHeight="1" x14ac:dyDescent="0.2">
      <c r="M32" s="111"/>
      <c r="O32" s="25"/>
      <c r="P32" s="25"/>
      <c r="Q32" s="116"/>
      <c r="S32" s="3"/>
      <c r="Z32" s="25"/>
      <c r="AA32" s="25"/>
      <c r="AB32" s="25"/>
      <c r="AC32" s="25"/>
      <c r="AD32" s="25"/>
      <c r="AE32" s="111"/>
      <c r="AF32" s="25"/>
      <c r="AG32" s="25"/>
      <c r="AH32" s="25"/>
      <c r="AI32" s="120"/>
    </row>
    <row r="33" spans="1:35" ht="12.75" customHeight="1" x14ac:dyDescent="0.25">
      <c r="A33" s="14" t="s">
        <v>86</v>
      </c>
      <c r="B33" s="164" t="str">
        <f>'Enrollment Input'!B26</f>
        <v xml:space="preserve">Kindergarten </v>
      </c>
      <c r="C33" s="164"/>
      <c r="D33" s="164"/>
      <c r="E33" s="164"/>
      <c r="F33" s="164"/>
      <c r="G33" s="164"/>
      <c r="H33" s="5"/>
      <c r="I33" s="5"/>
      <c r="J33" s="155" t="str">
        <f>IF('Enrollment Input'!E26=0," ",'Enrollment Input'!E26)</f>
        <v xml:space="preserve"> </v>
      </c>
      <c r="K33" s="155"/>
      <c r="L33" s="16" t="s">
        <v>43</v>
      </c>
      <c r="M33" s="110">
        <f>IF('Enrollment Input'!E26=0,0,LOOKUP(J33,criteria!$A$3:$A$10,criteria!$B$3:$B$10))</f>
        <v>0</v>
      </c>
      <c r="N33" s="14" t="s">
        <v>14</v>
      </c>
      <c r="O33" s="72">
        <f>IF(Q33=0,0,IF(LOOKUP(J33,criteria!$A$3:$A$10,criteria!$C$3:$C$10)=0,0,IF(Q33&lt;LOOKUP(J33,criteria!$A$3:$A$10,criteria!$C$3:$C$10),LOOKUP(J33,criteria!$A$3:$A$10,criteria!$C$3:$C$10),Q33)))</f>
        <v>0</v>
      </c>
      <c r="P33" s="84" t="str">
        <f>IF('Enrollment Input'!E26=0," ",IF(O33=0,"ADD to 1-6",IF(O33=Q33," ","Minimum")))</f>
        <v xml:space="preserve"> </v>
      </c>
      <c r="Q33" s="116">
        <f>ROUND(IF('Enrollment Input'!E26=0,0,IF(M33=0,0,(J33/M33))),2)</f>
        <v>0</v>
      </c>
      <c r="S33" s="14" t="s">
        <v>86</v>
      </c>
      <c r="T33" s="157" t="str">
        <f>'Enrollment Input'!B26</f>
        <v xml:space="preserve">Kindergarten </v>
      </c>
      <c r="U33" s="157"/>
      <c r="V33" s="157"/>
      <c r="W33" s="157"/>
      <c r="X33" s="157"/>
      <c r="Y33" s="157"/>
      <c r="Z33" s="80"/>
      <c r="AA33" s="80"/>
      <c r="AB33" s="158" t="str">
        <f>IF('Enrollment Input'!E26=0," ",'Enrollment Input'!E26)</f>
        <v xml:space="preserve"> </v>
      </c>
      <c r="AC33" s="158"/>
      <c r="AD33" s="86" t="s">
        <v>43</v>
      </c>
      <c r="AE33" s="110">
        <f>IF('Enrollment Input'!E26=0,0,LOOKUP(AB33,criteria!$A$3:$A$10,criteria!$B$3:$B$10))</f>
        <v>0</v>
      </c>
      <c r="AF33" s="79" t="s">
        <v>14</v>
      </c>
      <c r="AG33" s="72">
        <f>IF(AI33=0,0,IF(LOOKUP(AB33,criteria!$A$3:$A$10,criteria!$C$3:$C$10)=0,0,IF(AI33&lt;LOOKUP(AB33,criteria!$A$3:$A$10,criteria!$C$3:$C$10),LOOKUP(AB33,criteria!$A$3:$A$10,criteria!$C$3:$C$10),AI33)))</f>
        <v>0</v>
      </c>
      <c r="AH33" s="84" t="str">
        <f>IF('Enrollment Input'!E26=0," ",IF(AG33=0,"ADD to 1-6",IF(AG33=AI33," ","Minimum")))</f>
        <v xml:space="preserve"> </v>
      </c>
      <c r="AI33" s="120">
        <f>ROUND(IF('Enrollment Input'!E26=0,0,IF(AE33=0,0,(AB33/AE33))),2)</f>
        <v>0</v>
      </c>
    </row>
    <row r="34" spans="1:35" ht="6" customHeight="1" x14ac:dyDescent="0.2">
      <c r="A34" s="14"/>
      <c r="J34" s="26"/>
      <c r="K34" s="26"/>
      <c r="M34" s="111"/>
      <c r="O34" s="25"/>
      <c r="P34" s="25"/>
      <c r="Q34" s="116"/>
      <c r="S34" s="14"/>
      <c r="T34" s="78"/>
      <c r="U34" s="78"/>
      <c r="V34" s="78"/>
      <c r="W34" s="78"/>
      <c r="X34" s="78"/>
      <c r="Y34" s="78"/>
      <c r="Z34" s="26"/>
      <c r="AA34" s="25"/>
      <c r="AB34" s="26"/>
      <c r="AC34" s="26"/>
      <c r="AD34" s="25"/>
      <c r="AE34" s="111"/>
      <c r="AF34" s="25"/>
      <c r="AG34" s="25"/>
      <c r="AH34" s="25"/>
      <c r="AI34" s="120"/>
    </row>
    <row r="35" spans="1:35" ht="12.75" customHeight="1" x14ac:dyDescent="0.25">
      <c r="A35" s="14"/>
      <c r="B35" s="164" t="str">
        <f>'Enrollment Input'!B27</f>
        <v>Grades 1-6</v>
      </c>
      <c r="C35" s="164"/>
      <c r="D35" s="164"/>
      <c r="E35" s="164"/>
      <c r="F35" s="164"/>
      <c r="G35" s="164"/>
      <c r="H35" s="5"/>
      <c r="I35" s="5"/>
      <c r="J35" s="155" t="str">
        <f>IF('Enrollment Input'!E27=0," ",IF(P33="ADD to 1-6",SUM('Enrollment Input'!E27+'Enrollment Input'!E26),'Enrollment Input'!E27))</f>
        <v xml:space="preserve"> </v>
      </c>
      <c r="K35" s="155"/>
      <c r="L35" s="16" t="s">
        <v>43</v>
      </c>
      <c r="M35" s="110">
        <f>IF('Enrollment Input'!E27=0,0,LOOKUP(J35,criteria!$M$3:$M$10,criteria!$N$3:$N$10))</f>
        <v>0</v>
      </c>
      <c r="N35" s="14" t="s">
        <v>14</v>
      </c>
      <c r="O35" s="72">
        <f>IF(Q35=0,0,IF(Q35&lt;LOOKUP(J35,criteria!$M$3:$M$10,criteria!$O$3:$O$10),LOOKUP(J35,criteria!$M$3:$M$10,criteria!$O$3:$O$10),Q35))</f>
        <v>0</v>
      </c>
      <c r="P35" s="25" t="str">
        <f>IF(O35=0," ",IF(O35=Q35," ","Minimum"))</f>
        <v xml:space="preserve"> </v>
      </c>
      <c r="Q35" s="116">
        <f>ROUND(IF('Enrollment Input'!E27=0,0,(J35/M35)),2)</f>
        <v>0</v>
      </c>
      <c r="S35" s="14"/>
      <c r="T35" s="157" t="str">
        <f>'Enrollment Input'!B27</f>
        <v>Grades 1-6</v>
      </c>
      <c r="U35" s="157"/>
      <c r="V35" s="157"/>
      <c r="W35" s="157"/>
      <c r="X35" s="157"/>
      <c r="Y35" s="157"/>
      <c r="Z35" s="80"/>
      <c r="AA35" s="80"/>
      <c r="AB35" s="155" t="str">
        <f>IF('Enrollment Input'!E27=0," ",IF(AH33="ADD to 1-6",SUM('Enrollment Input'!E27+'Enrollment Input'!E26),'Enrollment Input'!E27))</f>
        <v xml:space="preserve"> </v>
      </c>
      <c r="AC35" s="155"/>
      <c r="AD35" s="86" t="s">
        <v>43</v>
      </c>
      <c r="AE35" s="110">
        <f>IF('Enrollment Input'!E27=0,0,LOOKUP(AB35,criteria!$M$3:$M$10,criteria!$N$3:$N$10))</f>
        <v>0</v>
      </c>
      <c r="AF35" s="79" t="s">
        <v>14</v>
      </c>
      <c r="AG35" s="72">
        <f>IF(AI35=0,0,IF(AI35&lt;LOOKUP(AB35,criteria!$M$3:$M$10,criteria!$O$3:$O$10),LOOKUP(AB35,criteria!$M$3:$M$10,criteria!$O$3:$O$10),AI35))</f>
        <v>0</v>
      </c>
      <c r="AH35" s="25" t="str">
        <f>IF(AG35=0," ",IF(AG35=AI35," ","Minimum"))</f>
        <v xml:space="preserve"> </v>
      </c>
      <c r="AI35" s="120">
        <f>ROUND(IF('Enrollment Input'!E27=0,0,(AB35/AE35)),2)</f>
        <v>0</v>
      </c>
    </row>
    <row r="36" spans="1:35" ht="6.75" customHeight="1" x14ac:dyDescent="0.2">
      <c r="A36" s="14"/>
      <c r="J36" s="27"/>
      <c r="K36" s="27"/>
      <c r="M36" s="111"/>
      <c r="O36" s="25"/>
      <c r="P36" s="25"/>
      <c r="Q36" s="116"/>
      <c r="S36" s="14"/>
      <c r="T36" s="78"/>
      <c r="U36" s="78"/>
      <c r="V36" s="78"/>
      <c r="W36" s="78"/>
      <c r="X36" s="78"/>
      <c r="Y36" s="78"/>
      <c r="Z36" s="80"/>
      <c r="AA36" s="25"/>
      <c r="AB36" s="27"/>
      <c r="AC36" s="27"/>
      <c r="AD36" s="25"/>
      <c r="AE36" s="111"/>
      <c r="AF36" s="25"/>
      <c r="AG36" s="25"/>
      <c r="AH36" s="25"/>
      <c r="AI36" s="120"/>
    </row>
    <row r="37" spans="1:35" ht="12.75" customHeight="1" x14ac:dyDescent="0.25">
      <c r="A37" s="14"/>
      <c r="B37" s="164" t="str">
        <f>'Enrollment Input'!B28</f>
        <v xml:space="preserve">Secondary </v>
      </c>
      <c r="C37" s="164"/>
      <c r="D37" s="164"/>
      <c r="E37" s="164"/>
      <c r="F37" s="164"/>
      <c r="G37" s="164"/>
      <c r="H37" s="5"/>
      <c r="I37" s="5"/>
      <c r="J37" s="155" t="str">
        <f>IF('Enrollment Input'!E28=0," ",'Enrollment Input'!E28)</f>
        <v xml:space="preserve"> </v>
      </c>
      <c r="K37" s="155"/>
      <c r="L37" s="16" t="s">
        <v>43</v>
      </c>
      <c r="M37" s="110">
        <f>IF(J37=" ",0,IF(J37&gt;99.99,LOOKUP(J37,criteria!Q3:Q10,criteria!R3:R10),LOOKUP('Enrollment Input'!F29,criteria!Y3:Y5,criteria!Z3:Z5)))</f>
        <v>0</v>
      </c>
      <c r="N37" s="14" t="s">
        <v>14</v>
      </c>
      <c r="O37" s="72">
        <f>ROUND(IF(J37=" ",0,IF(J37&lt;99.99,IF(M37=0,8,(J37/M37)),IF(Q37&lt;LOOKUP(J37,criteria!$Q$3:$Q$10,criteria!$S$3:$S$10),LOOKUP(J37,criteria!$Q$3:$Q$10,criteria!$S$3:$S$10),Q37))),2)</f>
        <v>0</v>
      </c>
      <c r="P37" s="25" t="str">
        <f>IF(O37=0," ",IF(O37=Q37," ","Minimum"))</f>
        <v xml:space="preserve"> </v>
      </c>
      <c r="Q37" s="116">
        <f>ROUND(IF(M37=0,0,(J37/M37)),2)</f>
        <v>0</v>
      </c>
      <c r="S37" s="14"/>
      <c r="T37" s="157" t="str">
        <f>'Enrollment Input'!B28</f>
        <v xml:space="preserve">Secondary </v>
      </c>
      <c r="U37" s="157"/>
      <c r="V37" s="157"/>
      <c r="W37" s="157"/>
      <c r="X37" s="157"/>
      <c r="Y37" s="157"/>
      <c r="Z37" s="80"/>
      <c r="AA37" s="80"/>
      <c r="AB37" s="155" t="str">
        <f>IF('Enrollment Input'!E28=0," ",'Enrollment Input'!E28)</f>
        <v xml:space="preserve"> </v>
      </c>
      <c r="AC37" s="155"/>
      <c r="AD37" s="86" t="s">
        <v>43</v>
      </c>
      <c r="AE37" s="110">
        <f>IF(AB37=" ",0,IF(AB37&gt;99.99,LOOKUP(AB37,criteria!Q3:Q10,criteria!R3:R10),LOOKUP('Enrollment Input'!F29,criteria!Y3:Y5,criteria!Z3:Z5)))</f>
        <v>0</v>
      </c>
      <c r="AF37" s="79" t="s">
        <v>14</v>
      </c>
      <c r="AG37" s="72">
        <f>ROUND(IF(AB37=" ",0,IF(AB37&lt;99.99,IF(AE37=0,8,(AB37/AE37)),IF(AI37&lt;LOOKUP(AB37,criteria!$Q$3:$Q$10,criteria!$S$3:$S$10),LOOKUP(AB37,criteria!$Q$3:$Q$10,criteria!$S$3:$S$10),AI37))),2)</f>
        <v>0</v>
      </c>
      <c r="AH37" s="25" t="str">
        <f>IF(AG37=0," ",IF(AG37=AI37," ","Minimum"))</f>
        <v xml:space="preserve"> </v>
      </c>
      <c r="AI37" s="120">
        <f>ROUND(IF(AE37=0,0,(AB37/AE37)),2)</f>
        <v>0</v>
      </c>
    </row>
    <row r="38" spans="1:35" ht="6.75" customHeight="1" x14ac:dyDescent="0.2">
      <c r="A38" s="14"/>
      <c r="J38" s="25"/>
      <c r="K38" s="25"/>
      <c r="M38" s="111"/>
      <c r="O38" s="25"/>
      <c r="P38" s="25"/>
      <c r="Q38" s="116"/>
      <c r="S38" s="14"/>
      <c r="T38" s="78"/>
      <c r="U38" s="78"/>
      <c r="V38" s="78"/>
      <c r="W38" s="78"/>
      <c r="X38" s="78"/>
      <c r="Y38" s="78"/>
      <c r="Z38" s="80"/>
      <c r="AA38" s="25"/>
      <c r="AB38" s="25"/>
      <c r="AC38" s="25"/>
      <c r="AD38" s="25"/>
      <c r="AE38" s="111"/>
      <c r="AF38" s="25"/>
      <c r="AG38" s="25"/>
      <c r="AH38" s="25"/>
      <c r="AI38" s="120"/>
    </row>
    <row r="39" spans="1:35" ht="12.75" customHeight="1" x14ac:dyDescent="0.25">
      <c r="A39" s="14" t="s">
        <v>87</v>
      </c>
      <c r="B39" s="164" t="str">
        <f>'Enrollment Input'!B30</f>
        <v xml:space="preserve">Kindergarten </v>
      </c>
      <c r="C39" s="164"/>
      <c r="D39" s="164"/>
      <c r="E39" s="164"/>
      <c r="F39" s="164"/>
      <c r="G39" s="164"/>
      <c r="H39" s="5"/>
      <c r="I39" s="5"/>
      <c r="J39" s="155" t="str">
        <f>IF('Enrollment Input'!E30=0," ",'Enrollment Input'!E30)</f>
        <v xml:space="preserve"> </v>
      </c>
      <c r="K39" s="155"/>
      <c r="L39" s="16" t="s">
        <v>43</v>
      </c>
      <c r="M39" s="110">
        <f>IF('Enrollment Input'!E30=0,0,LOOKUP(J39,criteria!$A$3:$A$10,criteria!$B$3:$B$10))</f>
        <v>0</v>
      </c>
      <c r="N39" s="14" t="s">
        <v>14</v>
      </c>
      <c r="O39" s="72">
        <f>IF(Q39=0,0,IF(LOOKUP(J39,criteria!$A$3:$A$10,criteria!$C$3:$C$10)=0,0,IF(Q39&lt;LOOKUP(J39,criteria!$A$3:$A$10,criteria!$C$3:$C$10),LOOKUP(J39,criteria!$A$3:$A$10,criteria!$C$3:$C$10),Q39)))</f>
        <v>0</v>
      </c>
      <c r="P39" s="84" t="str">
        <f>IF('Enrollment Input'!E30=0," ",IF(O39=0,"ADD to 1-6",IF(O39=Q39," ","Minimum")))</f>
        <v xml:space="preserve"> </v>
      </c>
      <c r="Q39" s="116">
        <f>ROUND(IF('Enrollment Input'!E30=0,0,IF(M39=0,0,(J39/M39))),2)</f>
        <v>0</v>
      </c>
      <c r="S39" s="14" t="s">
        <v>87</v>
      </c>
      <c r="T39" s="157" t="str">
        <f>'Enrollment Input'!B30</f>
        <v xml:space="preserve">Kindergarten </v>
      </c>
      <c r="U39" s="157"/>
      <c r="V39" s="157"/>
      <c r="W39" s="157"/>
      <c r="X39" s="157"/>
      <c r="Y39" s="157"/>
      <c r="Z39" s="80"/>
      <c r="AA39" s="80"/>
      <c r="AB39" s="155" t="str">
        <f>IF('Enrollment Input'!E30=0," ",'Enrollment Input'!E30)</f>
        <v xml:space="preserve"> </v>
      </c>
      <c r="AC39" s="155"/>
      <c r="AD39" s="86" t="s">
        <v>43</v>
      </c>
      <c r="AE39" s="110">
        <f>IF('Enrollment Input'!E30=0,0,LOOKUP(AB39,criteria!$A$3:$A$10,criteria!$B$3:$B$10))</f>
        <v>0</v>
      </c>
      <c r="AF39" s="79" t="s">
        <v>14</v>
      </c>
      <c r="AG39" s="72">
        <f>IF(AI39=0,0,IF(LOOKUP(AB39,criteria!$A$3:$A$10,criteria!$C$3:$C$10)=0,0,IF(AI39&lt;LOOKUP(AB39,criteria!$A$3:$A$10,criteria!$C$3:$C$10),LOOKUP(AB39,criteria!$A$3:$A$10,criteria!$C$3:$C$10),AI39)))</f>
        <v>0</v>
      </c>
      <c r="AH39" s="84" t="str">
        <f>IF('Enrollment Input'!E30=0," ",IF(AG39=0,"ADD to 1-6",IF(AG39=AI39," ","Minimum")))</f>
        <v xml:space="preserve"> </v>
      </c>
      <c r="AI39" s="120">
        <f>ROUND(IF('Enrollment Input'!E30=0,0,IF(AE39=0,0,(AB39/AE39))),2)</f>
        <v>0</v>
      </c>
    </row>
    <row r="40" spans="1:35" ht="6.75" customHeight="1" x14ac:dyDescent="0.2">
      <c r="A40" s="14"/>
      <c r="J40" s="25"/>
      <c r="K40" s="25"/>
      <c r="M40" s="111"/>
      <c r="O40" s="25"/>
      <c r="P40" s="25"/>
      <c r="Q40" s="116"/>
      <c r="S40" s="14"/>
      <c r="T40" s="78"/>
      <c r="U40" s="78"/>
      <c r="V40" s="78"/>
      <c r="W40" s="78"/>
      <c r="X40" s="78"/>
      <c r="Y40" s="78"/>
      <c r="Z40" s="80"/>
      <c r="AA40" s="25"/>
      <c r="AB40" s="25"/>
      <c r="AC40" s="25"/>
      <c r="AD40" s="25"/>
      <c r="AE40" s="111"/>
      <c r="AF40" s="25"/>
      <c r="AG40" s="25"/>
      <c r="AH40" s="25"/>
      <c r="AI40" s="120"/>
    </row>
    <row r="41" spans="1:35" ht="12.75" customHeight="1" x14ac:dyDescent="0.25">
      <c r="A41" s="14"/>
      <c r="B41" s="164" t="str">
        <f>'Enrollment Input'!B31</f>
        <v>Grades 1-6</v>
      </c>
      <c r="C41" s="164"/>
      <c r="D41" s="164"/>
      <c r="E41" s="164"/>
      <c r="F41" s="164"/>
      <c r="G41" s="164"/>
      <c r="H41" s="5"/>
      <c r="I41" s="5"/>
      <c r="J41" s="155" t="str">
        <f>IF('Enrollment Input'!E31=0," ",IF(P39="ADD to 1-6",SUM('Enrollment Input'!E31+'Enrollment Input'!E30),'Enrollment Input'!E31))</f>
        <v xml:space="preserve"> </v>
      </c>
      <c r="K41" s="155"/>
      <c r="L41" s="16" t="s">
        <v>43</v>
      </c>
      <c r="M41" s="110">
        <f>IF('Enrollment Input'!E31=0,0,LOOKUP(J41,criteria!$M$3:$M$10,criteria!$N$3:$N$10))</f>
        <v>0</v>
      </c>
      <c r="N41" s="14" t="s">
        <v>14</v>
      </c>
      <c r="O41" s="72">
        <f>IF(Q41=0,0,IF(Q41&lt;LOOKUP(J41,criteria!$M$3:$M$10,criteria!$O$3:$O$10),LOOKUP(J41,criteria!$M$3:$M$10,criteria!$O$3:$O$10),Q41))</f>
        <v>0</v>
      </c>
      <c r="P41" s="25" t="str">
        <f>IF(O41=0," ",IF(O41=Q41," ","Minimum"))</f>
        <v xml:space="preserve"> </v>
      </c>
      <c r="Q41" s="116">
        <f>ROUND(IF('Enrollment Input'!E31=0,0,(J41/M41)),2)</f>
        <v>0</v>
      </c>
      <c r="S41" s="14"/>
      <c r="T41" s="157" t="str">
        <f>'Enrollment Input'!B31</f>
        <v>Grades 1-6</v>
      </c>
      <c r="U41" s="157"/>
      <c r="V41" s="157"/>
      <c r="W41" s="157"/>
      <c r="X41" s="157"/>
      <c r="Y41" s="157"/>
      <c r="Z41" s="80"/>
      <c r="AA41" s="80"/>
      <c r="AB41" s="155" t="str">
        <f>IF('Enrollment Input'!E31=0," ",IF(AH39="ADD to 1-6",SUM('Enrollment Input'!E31+'Enrollment Input'!E30),'Enrollment Input'!E31))</f>
        <v xml:space="preserve"> </v>
      </c>
      <c r="AC41" s="155"/>
      <c r="AD41" s="86" t="s">
        <v>43</v>
      </c>
      <c r="AE41" s="110">
        <f>IF('Enrollment Input'!E31=0,0,LOOKUP(AB41,criteria!$M$3:$M$10,criteria!$N$3:$N$10))</f>
        <v>0</v>
      </c>
      <c r="AF41" s="79" t="s">
        <v>14</v>
      </c>
      <c r="AG41" s="72">
        <f>IF(AI41=0,0,IF(AI41&lt;LOOKUP(AB41,criteria!$M$3:$M$10,criteria!$O$3:$O$10),LOOKUP(AB41,criteria!$M$3:$M$10,criteria!$O$3:$O$10),AI41))</f>
        <v>0</v>
      </c>
      <c r="AH41" s="25" t="str">
        <f>IF(AG41=0," ",IF(AG41=AI41," ","Minimum"))</f>
        <v xml:space="preserve"> </v>
      </c>
      <c r="AI41" s="120">
        <f>ROUND(IF('Enrollment Input'!E31=0,0,(AB41/AE41)),2)</f>
        <v>0</v>
      </c>
    </row>
    <row r="42" spans="1:35" ht="6.75" customHeight="1" x14ac:dyDescent="0.2">
      <c r="A42" s="14"/>
      <c r="J42" s="25"/>
      <c r="K42" s="25"/>
      <c r="M42" s="111"/>
      <c r="O42" s="25"/>
      <c r="P42" s="25"/>
      <c r="Q42" s="116"/>
      <c r="S42" s="14"/>
      <c r="T42" s="78"/>
      <c r="U42" s="78"/>
      <c r="V42" s="78"/>
      <c r="W42" s="78"/>
      <c r="X42" s="78"/>
      <c r="Y42" s="78"/>
      <c r="Z42" s="80"/>
      <c r="AA42" s="25"/>
      <c r="AB42" s="25"/>
      <c r="AC42" s="25"/>
      <c r="AD42" s="25"/>
      <c r="AE42" s="111"/>
      <c r="AF42" s="25"/>
      <c r="AG42" s="25"/>
      <c r="AH42" s="25"/>
      <c r="AI42" s="120"/>
    </row>
    <row r="43" spans="1:35" ht="12.75" customHeight="1" x14ac:dyDescent="0.25">
      <c r="A43" s="14"/>
      <c r="B43" s="164" t="str">
        <f>'Enrollment Input'!B32</f>
        <v xml:space="preserve">Secondary </v>
      </c>
      <c r="C43" s="164"/>
      <c r="D43" s="164"/>
      <c r="E43" s="164"/>
      <c r="F43" s="164"/>
      <c r="G43" s="164"/>
      <c r="H43" s="5"/>
      <c r="I43" s="5"/>
      <c r="J43" s="155" t="str">
        <f>IF('Enrollment Input'!E32=0," ",'Enrollment Input'!E32)</f>
        <v xml:space="preserve"> </v>
      </c>
      <c r="K43" s="155"/>
      <c r="L43" s="16" t="s">
        <v>43</v>
      </c>
      <c r="M43" s="110">
        <f>IF(J43=" ",0,IF(J43&gt;99.99,LOOKUP(J43,criteria!$Q$3:$Q$10,criteria!$R$3:$R$10),LOOKUP('Enrollment Input'!$F$33,criteria!$Y$3:$Y$5,criteria!$Z$3:$Z$5)))</f>
        <v>0</v>
      </c>
      <c r="N43" s="14" t="s">
        <v>14</v>
      </c>
      <c r="O43" s="72">
        <f>ROUND(IF(J43=" ",0,IF(J43&lt;99.99,IF(M43=0,8,(J43/M43)),IF(Q43&lt;LOOKUP(J43,criteria!$Q$3:$Q$10,criteria!$S$3:$S$10),LOOKUP(J43,criteria!$Q$3:$Q$10,criteria!$S$3:$S$10),Q43))),2)</f>
        <v>0</v>
      </c>
      <c r="P43" s="25" t="str">
        <f>IF(O43=0," ",IF(O43=Q43," ","Minimum"))</f>
        <v xml:space="preserve"> </v>
      </c>
      <c r="Q43" s="116">
        <f>ROUND(IF(M43=0,0,(J43/M43)),2)</f>
        <v>0</v>
      </c>
      <c r="S43" s="14"/>
      <c r="T43" s="157" t="str">
        <f>'Enrollment Input'!B32</f>
        <v xml:space="preserve">Secondary </v>
      </c>
      <c r="U43" s="157"/>
      <c r="V43" s="157"/>
      <c r="W43" s="157"/>
      <c r="X43" s="157"/>
      <c r="Y43" s="157"/>
      <c r="Z43" s="80"/>
      <c r="AA43" s="80"/>
      <c r="AB43" s="155" t="str">
        <f>IF('Enrollment Input'!E32=0," ",'Enrollment Input'!E32)</f>
        <v xml:space="preserve"> </v>
      </c>
      <c r="AC43" s="155"/>
      <c r="AD43" s="86" t="s">
        <v>43</v>
      </c>
      <c r="AE43" s="110">
        <f>IF(AB43=" ",0,IF(AB43&gt;99.99,LOOKUP(AB43,criteria!$Q$3:$Q$10,criteria!$R$3:$R$10),LOOKUP('Enrollment Input'!$F$33,criteria!$Y$3:$Y$5,criteria!$Z$3:$Z$5)))</f>
        <v>0</v>
      </c>
      <c r="AF43" s="79" t="s">
        <v>14</v>
      </c>
      <c r="AG43" s="72">
        <f>ROUND(IF(AB43=" ",0,IF(AB43&lt;99.99,IF(AE43=0,8,(AB43/AE43)),IF(AI43&lt;LOOKUP(AB43,criteria!$Q$3:$Q$10,criteria!$S$3:$S$10),LOOKUP(AB43,criteria!$Q$3:$Q$10,criteria!$S$3:$S$10),AI43))),2)</f>
        <v>0</v>
      </c>
      <c r="AH43" s="25" t="str">
        <f>IF(AG43=0," ",IF(AG43=AI43," ","Minimum"))</f>
        <v xml:space="preserve"> </v>
      </c>
      <c r="AI43" s="120">
        <f>ROUND(IF(AE43=0,0,(AB43/AE43)),2)</f>
        <v>0</v>
      </c>
    </row>
    <row r="44" spans="1:35" ht="6.75" customHeight="1" x14ac:dyDescent="0.2">
      <c r="A44" s="14"/>
      <c r="J44" s="25"/>
      <c r="K44" s="25"/>
      <c r="M44" s="111"/>
      <c r="O44" s="25"/>
      <c r="P44" s="25"/>
      <c r="Q44" s="116"/>
      <c r="S44" s="14"/>
      <c r="T44" s="78"/>
      <c r="U44" s="78"/>
      <c r="V44" s="78"/>
      <c r="W44" s="78"/>
      <c r="X44" s="78"/>
      <c r="Y44" s="78"/>
      <c r="Z44" s="80"/>
      <c r="AA44" s="25"/>
      <c r="AB44" s="25"/>
      <c r="AC44" s="25"/>
      <c r="AD44" s="25"/>
      <c r="AE44" s="111"/>
      <c r="AF44" s="25"/>
      <c r="AG44" s="25"/>
      <c r="AH44" s="25"/>
      <c r="AI44" s="120"/>
    </row>
    <row r="45" spans="1:35" ht="12.75" customHeight="1" x14ac:dyDescent="0.25">
      <c r="A45" s="14" t="s">
        <v>88</v>
      </c>
      <c r="B45" s="164" t="str">
        <f>'Enrollment Input'!B34</f>
        <v xml:space="preserve">Kindergarten </v>
      </c>
      <c r="C45" s="164"/>
      <c r="D45" s="164"/>
      <c r="E45" s="164"/>
      <c r="F45" s="164"/>
      <c r="G45" s="164"/>
      <c r="H45" s="5"/>
      <c r="I45" s="5"/>
      <c r="J45" s="155" t="str">
        <f>IF('Enrollment Input'!E34=0," ",'Enrollment Input'!E34)</f>
        <v xml:space="preserve"> </v>
      </c>
      <c r="K45" s="155"/>
      <c r="L45" s="16" t="s">
        <v>43</v>
      </c>
      <c r="M45" s="110">
        <f>IF('Enrollment Input'!E34=0,0,LOOKUP(J45,criteria!$A$3:$A$10,criteria!$B$3:$B$10))</f>
        <v>0</v>
      </c>
      <c r="N45" s="14" t="s">
        <v>14</v>
      </c>
      <c r="O45" s="72">
        <f>IF(Q45=0,0,IF(LOOKUP(J45,criteria!$A$3:$A$10,criteria!$C$3:$C$10)=0,0,IF(Q45&lt;LOOKUP(J45,criteria!$A$3:$A$10,criteria!$C$3:$C$10),LOOKUP(J45,criteria!$A$3:$A$10,criteria!$C$3:$C$10),Q45)))</f>
        <v>0</v>
      </c>
      <c r="P45" s="84" t="str">
        <f>IF('Enrollment Input'!E34=0," ",IF(O45=0,"ADD to 1-6",IF(O45=Q45," ","Minimum")))</f>
        <v xml:space="preserve"> </v>
      </c>
      <c r="Q45" s="116">
        <f>ROUND(IF('Enrollment Input'!E34=0,0,IF(M45=0,0,(J45/M45))),2)</f>
        <v>0</v>
      </c>
      <c r="S45" s="14" t="s">
        <v>88</v>
      </c>
      <c r="T45" s="157" t="str">
        <f>'Enrollment Input'!B34</f>
        <v xml:space="preserve">Kindergarten </v>
      </c>
      <c r="U45" s="157"/>
      <c r="V45" s="157"/>
      <c r="W45" s="157"/>
      <c r="X45" s="157"/>
      <c r="Y45" s="157"/>
      <c r="Z45" s="80"/>
      <c r="AA45" s="80"/>
      <c r="AB45" s="155" t="str">
        <f>IF('Enrollment Input'!E34=0," ",'Enrollment Input'!E34)</f>
        <v xml:space="preserve"> </v>
      </c>
      <c r="AC45" s="155"/>
      <c r="AD45" s="86" t="s">
        <v>43</v>
      </c>
      <c r="AE45" s="110">
        <f>IF('Enrollment Input'!E34=0,0,LOOKUP(AB45,criteria!$A$3:$A$10,criteria!$B$3:$B$10))</f>
        <v>0</v>
      </c>
      <c r="AF45" s="79" t="s">
        <v>14</v>
      </c>
      <c r="AG45" s="72">
        <f>IF(AI45=0,0,IF(LOOKUP(AB45,criteria!$A$3:$A$10,criteria!$C$3:$C$10)=0,0,IF(AI45&lt;LOOKUP(AB45,criteria!$A$3:$A$10,criteria!$C$3:$C$10),LOOKUP(AB45,criteria!$A$3:$A$10,criteria!$C$3:$C$10),AI45)))</f>
        <v>0</v>
      </c>
      <c r="AH45" s="84" t="str">
        <f>IF('Enrollment Input'!E34=0," ",IF(AG45=0,"ADD to 1-6",IF(AG45=AI45," ","Minimum")))</f>
        <v xml:space="preserve"> </v>
      </c>
      <c r="AI45" s="120">
        <f>ROUND(IF('Enrollment Input'!E34=0,0,IF(AE45=0,0,(AB45/AE45))),2)</f>
        <v>0</v>
      </c>
    </row>
    <row r="46" spans="1:35" ht="6.75" customHeight="1" x14ac:dyDescent="0.2">
      <c r="A46" s="14"/>
      <c r="J46" s="25"/>
      <c r="K46" s="25"/>
      <c r="M46" s="111"/>
      <c r="O46" s="25"/>
      <c r="P46" s="25"/>
      <c r="Q46" s="116"/>
      <c r="S46" s="14"/>
      <c r="T46" s="78"/>
      <c r="U46" s="78"/>
      <c r="V46" s="78"/>
      <c r="W46" s="78"/>
      <c r="X46" s="78"/>
      <c r="Y46" s="78"/>
      <c r="Z46" s="80"/>
      <c r="AA46" s="25"/>
      <c r="AB46" s="25"/>
      <c r="AC46" s="25"/>
      <c r="AD46" s="25"/>
      <c r="AE46" s="111"/>
      <c r="AF46" s="25"/>
      <c r="AG46" s="25"/>
      <c r="AH46" s="25"/>
      <c r="AI46" s="120"/>
    </row>
    <row r="47" spans="1:35" ht="12.75" customHeight="1" x14ac:dyDescent="0.25">
      <c r="A47" s="14"/>
      <c r="B47" s="164" t="str">
        <f>'Enrollment Input'!B35</f>
        <v>Grades 1-6</v>
      </c>
      <c r="C47" s="164"/>
      <c r="D47" s="164"/>
      <c r="E47" s="164"/>
      <c r="F47" s="164"/>
      <c r="G47" s="164"/>
      <c r="H47" s="5"/>
      <c r="I47" s="5"/>
      <c r="J47" s="155" t="str">
        <f>IF('Enrollment Input'!E35=0," ",IF(P45="ADD to 1-6",SUM('Enrollment Input'!E34+'Enrollment Input'!E35),'Enrollment Input'!E35))</f>
        <v xml:space="preserve"> </v>
      </c>
      <c r="K47" s="155"/>
      <c r="L47" s="16" t="s">
        <v>43</v>
      </c>
      <c r="M47" s="110">
        <f>IF('Enrollment Input'!E35=0,0,LOOKUP(J47,criteria!$M$3:$M$10,criteria!$N$3:$N$10))</f>
        <v>0</v>
      </c>
      <c r="N47" s="14" t="s">
        <v>14</v>
      </c>
      <c r="O47" s="72">
        <f>IF(Q47=0,0,IF(Q47&lt;LOOKUP(J47,criteria!$M$3:$M$10,criteria!$O$3:$O$10),LOOKUP(J47,criteria!$M$3:$M$10,criteria!$O$3:$O$10),Q47))</f>
        <v>0</v>
      </c>
      <c r="P47" s="25" t="str">
        <f>IF(O47=0," ",IF(O47=Q47," ","Minimum"))</f>
        <v xml:space="preserve"> </v>
      </c>
      <c r="Q47" s="116">
        <f>ROUND(IF('Enrollment Input'!E35=0,0,(J47/M47)),2)</f>
        <v>0</v>
      </c>
      <c r="S47" s="14"/>
      <c r="T47" s="157" t="str">
        <f>'Enrollment Input'!B35</f>
        <v>Grades 1-6</v>
      </c>
      <c r="U47" s="157"/>
      <c r="V47" s="157"/>
      <c r="W47" s="157"/>
      <c r="X47" s="157"/>
      <c r="Y47" s="157"/>
      <c r="Z47" s="80"/>
      <c r="AA47" s="80"/>
      <c r="AB47" s="155" t="str">
        <f>IF('Enrollment Input'!E35=0," ",IF(AH45="ADD to 1-6",SUM('Enrollment Input'!E34+'Enrollment Input'!E35),'Enrollment Input'!E35))</f>
        <v xml:space="preserve"> </v>
      </c>
      <c r="AC47" s="155"/>
      <c r="AD47" s="86" t="s">
        <v>43</v>
      </c>
      <c r="AE47" s="110">
        <f>IF('Enrollment Input'!E35=0,0,LOOKUP(AB47,criteria!$M$3:$M$10,criteria!$N$3:$N$10))</f>
        <v>0</v>
      </c>
      <c r="AF47" s="79" t="s">
        <v>14</v>
      </c>
      <c r="AG47" s="72">
        <f>IF(AI47=0,0,IF(AI47&lt;LOOKUP(AB47,criteria!$M$3:$M$10,criteria!$O$3:$O$10),LOOKUP(AB47,criteria!$M$3:$M$10,criteria!$O$3:$O$10),AI47))</f>
        <v>0</v>
      </c>
      <c r="AH47" s="25" t="str">
        <f>IF(AG47=0," ",IF(AG47=AI47," ","Minimum"))</f>
        <v xml:space="preserve"> </v>
      </c>
      <c r="AI47" s="120">
        <f>ROUND(IF('Enrollment Input'!E35=0,0,(AB47/AE47)),2)</f>
        <v>0</v>
      </c>
    </row>
    <row r="48" spans="1:35" ht="6.75" customHeight="1" x14ac:dyDescent="0.2">
      <c r="A48" s="14"/>
      <c r="J48" s="25"/>
      <c r="K48" s="25"/>
      <c r="M48" s="111"/>
      <c r="O48" s="25"/>
      <c r="P48" s="25"/>
      <c r="Q48" s="116"/>
      <c r="S48" s="14"/>
      <c r="T48" s="78"/>
      <c r="U48" s="78"/>
      <c r="V48" s="78"/>
      <c r="W48" s="78"/>
      <c r="X48" s="78"/>
      <c r="Y48" s="78"/>
      <c r="Z48" s="80"/>
      <c r="AA48" s="25"/>
      <c r="AB48" s="100"/>
      <c r="AC48" s="100"/>
      <c r="AD48" s="25"/>
      <c r="AE48" s="111"/>
      <c r="AF48" s="25"/>
      <c r="AG48" s="25"/>
      <c r="AH48" s="25"/>
      <c r="AI48" s="120"/>
    </row>
    <row r="49" spans="1:35" ht="12.75" customHeight="1" x14ac:dyDescent="0.25">
      <c r="A49" s="14"/>
      <c r="B49" s="164" t="str">
        <f>'Enrollment Input'!B36</f>
        <v xml:space="preserve">Secondary </v>
      </c>
      <c r="C49" s="164"/>
      <c r="D49" s="164"/>
      <c r="E49" s="164"/>
      <c r="F49" s="164"/>
      <c r="G49" s="164"/>
      <c r="H49" s="5"/>
      <c r="I49" s="5"/>
      <c r="J49" s="155" t="str">
        <f>IF('Enrollment Input'!E36=0," ",'Enrollment Input'!E36)</f>
        <v xml:space="preserve"> </v>
      </c>
      <c r="K49" s="155"/>
      <c r="L49" s="16" t="s">
        <v>43</v>
      </c>
      <c r="M49" s="110">
        <f>IF(J49=" ",0,IF(J49&gt;99.99,LOOKUP(J49,criteria!$Q$3:$Q$9,criteria!$R$3:$R$9),LOOKUP('Enrollment Input'!$F$37,criteria!$Y$3:$Y$5,criteria!$Z$3:$Z$51)))</f>
        <v>0</v>
      </c>
      <c r="N49" s="14" t="s">
        <v>14</v>
      </c>
      <c r="O49" s="72">
        <f>ROUND(IF(J49=" ",0,IF(J49&lt;99.99,IF(M49=0,8,(J49/M49)),IF(Q49&lt;LOOKUP(J49,criteria!$Q$3:$Q$10,criteria!$S$3:$S$10),LOOKUP(J49,criteria!$Q$3:$Q$10,criteria!$S$3:$S$10),Q49))),2)</f>
        <v>0</v>
      </c>
      <c r="P49" s="25" t="str">
        <f>IF(O49=0," ",IF(O49=Q49," ","Minimum"))</f>
        <v xml:space="preserve"> </v>
      </c>
      <c r="Q49" s="116">
        <f>ROUND(IF(M49=0,0,(J49/M49)),2)</f>
        <v>0</v>
      </c>
      <c r="S49" s="14"/>
      <c r="T49" s="157" t="str">
        <f>'Enrollment Input'!B36</f>
        <v xml:space="preserve">Secondary </v>
      </c>
      <c r="U49" s="157"/>
      <c r="V49" s="157"/>
      <c r="W49" s="157"/>
      <c r="X49" s="157"/>
      <c r="Y49" s="157"/>
      <c r="Z49" s="80"/>
      <c r="AA49" s="80"/>
      <c r="AB49" s="155" t="str">
        <f>IF('Enrollment Input'!E36=0," ",'Enrollment Input'!E36)</f>
        <v xml:space="preserve"> </v>
      </c>
      <c r="AC49" s="155"/>
      <c r="AD49" s="86" t="s">
        <v>43</v>
      </c>
      <c r="AE49" s="110">
        <f>IF(AB49=" ",0,IF(AB49&gt;99.99,LOOKUP(AB49,criteria!$Q$3:$Q$9,criteria!$R$3:$R$9),LOOKUP('Enrollment Input'!$F$37,criteria!$Y$3:$Y$5,criteria!$Z$3:$Z$51)))</f>
        <v>0</v>
      </c>
      <c r="AF49" s="79" t="s">
        <v>14</v>
      </c>
      <c r="AG49" s="72">
        <f>ROUND(IF(AB49=" ",0,IF(AB49&lt;99.99,IF(AE49=0,8,(AB49/AE49)),IF(AI49&lt;LOOKUP(AB49,criteria!$Q$3:$Q$10,criteria!$S$3:$S$10),LOOKUP(AB49,criteria!$Q$3:$Q$10,criteria!$S$3:$S$10),AI49))),2)</f>
        <v>0</v>
      </c>
      <c r="AH49" s="25" t="str">
        <f>IF(AG49=0," ",IF(AG49=AI49," ","Minimum"))</f>
        <v xml:space="preserve"> </v>
      </c>
      <c r="AI49" s="120">
        <f>ROUND(IF(AE49=0,0,(AB49/AE49)),2)</f>
        <v>0</v>
      </c>
    </row>
    <row r="50" spans="1:35" ht="6.75" customHeight="1" x14ac:dyDescent="0.2">
      <c r="A50" s="14"/>
      <c r="J50" s="25"/>
      <c r="K50" s="25"/>
      <c r="M50" s="111"/>
      <c r="O50" s="25"/>
      <c r="P50" s="25"/>
      <c r="Q50" s="116"/>
      <c r="S50" s="14"/>
      <c r="T50" s="78"/>
      <c r="U50" s="78"/>
      <c r="V50" s="78"/>
      <c r="W50" s="78"/>
      <c r="X50" s="78"/>
      <c r="Y50" s="78"/>
      <c r="Z50" s="80"/>
      <c r="AA50" s="25"/>
      <c r="AB50" s="25"/>
      <c r="AC50" s="25"/>
      <c r="AD50" s="25"/>
      <c r="AE50" s="111"/>
      <c r="AF50" s="25"/>
      <c r="AG50" s="25"/>
      <c r="AH50" s="25"/>
      <c r="AI50" s="120"/>
    </row>
    <row r="51" spans="1:35" ht="12.75" customHeight="1" x14ac:dyDescent="0.25">
      <c r="A51" s="14" t="s">
        <v>89</v>
      </c>
      <c r="B51" s="164" t="str">
        <f>'Enrollment Input'!B38</f>
        <v xml:space="preserve">Kindergarten </v>
      </c>
      <c r="C51" s="164"/>
      <c r="D51" s="164"/>
      <c r="E51" s="164"/>
      <c r="F51" s="164"/>
      <c r="G51" s="164"/>
      <c r="H51" s="5"/>
      <c r="I51" s="5"/>
      <c r="J51" s="155" t="str">
        <f>IF('Enrollment Input'!E38=0," ",'Enrollment Input'!E38)</f>
        <v xml:space="preserve"> </v>
      </c>
      <c r="K51" s="155"/>
      <c r="L51" s="16" t="s">
        <v>43</v>
      </c>
      <c r="M51" s="110">
        <f>IF('Enrollment Input'!E38=0,0,LOOKUP(J51,criteria!$A$3:$A$10,criteria!$B$3:$B$10))</f>
        <v>0</v>
      </c>
      <c r="N51" s="14" t="s">
        <v>14</v>
      </c>
      <c r="O51" s="72">
        <f>IF(Q51=0,0,IF(LOOKUP(J51,criteria!$A$3:$A$10,criteria!$C$3:$C$10)=0,0,IF(Q51&lt;LOOKUP(J51,criteria!$A$3:$A$10,criteria!$C$3:$C$10),LOOKUP(J51,criteria!$A$3:$A$10,criteria!$C$3:$C$10),Q51)))</f>
        <v>0</v>
      </c>
      <c r="P51" s="84" t="str">
        <f>IF('Enrollment Input'!E38=0," ",IF(O51=0,"ADD to 1-6",IF(O51=Q51," ","Minimum")))</f>
        <v xml:space="preserve"> </v>
      </c>
      <c r="Q51" s="116">
        <f>ROUND(IF('Enrollment Input'!E38=0,0,IF(M51=0,0,(J51/M51))),2)</f>
        <v>0</v>
      </c>
      <c r="S51" s="14" t="s">
        <v>89</v>
      </c>
      <c r="T51" s="157" t="str">
        <f>'Enrollment Input'!B38</f>
        <v xml:space="preserve">Kindergarten </v>
      </c>
      <c r="U51" s="157"/>
      <c r="V51" s="157"/>
      <c r="W51" s="157"/>
      <c r="X51" s="157"/>
      <c r="Y51" s="157"/>
      <c r="Z51" s="80"/>
      <c r="AA51" s="80"/>
      <c r="AB51" s="155" t="str">
        <f>IF('Enrollment Input'!E38=0," ",'Enrollment Input'!E38)</f>
        <v xml:space="preserve"> </v>
      </c>
      <c r="AC51" s="155"/>
      <c r="AD51" s="86" t="s">
        <v>43</v>
      </c>
      <c r="AE51" s="110">
        <f>IF('Enrollment Input'!E38=0,0,LOOKUP(AB51,criteria!$A$3:$A$10,criteria!$B$3:$B$10))</f>
        <v>0</v>
      </c>
      <c r="AF51" s="79" t="s">
        <v>14</v>
      </c>
      <c r="AG51" s="72">
        <f>IF(AI51=0,0,IF(LOOKUP(AB51,criteria!$A$3:$A$10,criteria!$C$3:$C$10)=0,0,IF(AI51&lt;LOOKUP(AB51,criteria!$A$3:$A$10,criteria!$C$3:$C$10),LOOKUP(AB51,criteria!$A$3:$A$10,criteria!$C$3:$C$10),AI51)))</f>
        <v>0</v>
      </c>
      <c r="AH51" s="84" t="str">
        <f>IF('Enrollment Input'!E38=0," ",IF(AG51=0,"ADD to 1-6",IF(AG51=AI51," ","Minimum")))</f>
        <v xml:space="preserve"> </v>
      </c>
      <c r="AI51" s="120">
        <f>ROUND(IF('Enrollment Input'!E38=0,0,IF(AE51=0,0,(AB51/AE51))),2)</f>
        <v>0</v>
      </c>
    </row>
    <row r="52" spans="1:35" ht="6.75" customHeight="1" x14ac:dyDescent="0.2">
      <c r="A52" s="14"/>
      <c r="J52" s="25"/>
      <c r="K52" s="25"/>
      <c r="M52" s="111"/>
      <c r="O52" s="25"/>
      <c r="P52" s="25"/>
      <c r="Q52" s="116"/>
      <c r="S52" s="14"/>
      <c r="T52" s="78"/>
      <c r="U52" s="78"/>
      <c r="V52" s="78"/>
      <c r="W52" s="78"/>
      <c r="X52" s="78"/>
      <c r="Y52" s="78"/>
      <c r="Z52" s="80"/>
      <c r="AA52" s="25"/>
      <c r="AB52" s="25"/>
      <c r="AC52" s="25"/>
      <c r="AD52" s="25"/>
      <c r="AE52" s="111"/>
      <c r="AF52" s="25"/>
      <c r="AG52" s="25"/>
      <c r="AH52" s="25"/>
      <c r="AI52" s="120"/>
    </row>
    <row r="53" spans="1:35" ht="12.75" customHeight="1" x14ac:dyDescent="0.25">
      <c r="A53" s="14"/>
      <c r="B53" s="164" t="str">
        <f>'Enrollment Input'!B39</f>
        <v>Grades 1-6</v>
      </c>
      <c r="C53" s="164"/>
      <c r="D53" s="164"/>
      <c r="E53" s="164"/>
      <c r="F53" s="164"/>
      <c r="G53" s="164"/>
      <c r="H53" s="5"/>
      <c r="I53" s="5"/>
      <c r="J53" s="155" t="str">
        <f>IF('Enrollment Input'!E39=0," ",IF(P51="ADD to 1-6",SUM('Enrollment Input'!E38+'Enrollment Input'!E39),'Enrollment Input'!E39))</f>
        <v xml:space="preserve"> </v>
      </c>
      <c r="K53" s="155"/>
      <c r="L53" s="16" t="s">
        <v>43</v>
      </c>
      <c r="M53" s="110">
        <f>IF('Enrollment Input'!E39=0,0,LOOKUP(J53,criteria!$M$3:$M$10,criteria!$N$3:$N$10))</f>
        <v>0</v>
      </c>
      <c r="N53" s="14" t="s">
        <v>14</v>
      </c>
      <c r="O53" s="72">
        <f>IF(Q53=0,0,IF(Q53&lt;LOOKUP(J53,criteria!$M$3:$M$10,criteria!$O$3:$O$10),LOOKUP(J53,criteria!$M$3:$M$10,criteria!$O$3:$O$10),Q53))</f>
        <v>0</v>
      </c>
      <c r="P53" s="25" t="str">
        <f>IF(O53=0," ",IF(O53=Q53," ","Minimum"))</f>
        <v xml:space="preserve"> </v>
      </c>
      <c r="Q53" s="116">
        <f>ROUND(IF('Enrollment Input'!E39=0,0,(J53/M53)),2)</f>
        <v>0</v>
      </c>
      <c r="S53" s="14"/>
      <c r="T53" s="157" t="str">
        <f>'Enrollment Input'!B39</f>
        <v>Grades 1-6</v>
      </c>
      <c r="U53" s="157"/>
      <c r="V53" s="157"/>
      <c r="W53" s="157"/>
      <c r="X53" s="157"/>
      <c r="Y53" s="157"/>
      <c r="Z53" s="80"/>
      <c r="AA53" s="80"/>
      <c r="AB53" s="155" t="str">
        <f>IF('Enrollment Input'!E39=0," ",IF(AH51="ADD to 1-6",SUM('Enrollment Input'!E38+'Enrollment Input'!E39),'Enrollment Input'!E39))</f>
        <v xml:space="preserve"> </v>
      </c>
      <c r="AC53" s="155"/>
      <c r="AD53" s="86" t="s">
        <v>43</v>
      </c>
      <c r="AE53" s="110">
        <f>IF('Enrollment Input'!E39=0,0,LOOKUP(AB53,criteria!$M$3:$M$10,criteria!$N$3:$N$10))</f>
        <v>0</v>
      </c>
      <c r="AF53" s="79" t="s">
        <v>14</v>
      </c>
      <c r="AG53" s="72">
        <f>IF(AI53=0,0,IF(AI53&lt;LOOKUP(AB53,criteria!$M$3:$M$10,criteria!$O$3:$O$10),LOOKUP(AB53,criteria!$M$3:$M$10,criteria!$O$3:$O$10),AI53))</f>
        <v>0</v>
      </c>
      <c r="AH53" s="25" t="str">
        <f>IF(AG53=0," ",IF(AG53=AI53," ","Minimum"))</f>
        <v xml:space="preserve"> </v>
      </c>
      <c r="AI53" s="120">
        <f>ROUND(IF('Enrollment Input'!E39=0,0,(AB53/AE53)),2)</f>
        <v>0</v>
      </c>
    </row>
    <row r="54" spans="1:35" ht="6.75" customHeight="1" x14ac:dyDescent="0.2">
      <c r="A54" s="14"/>
      <c r="J54" s="25"/>
      <c r="K54" s="25"/>
      <c r="M54" s="111"/>
      <c r="O54" s="25"/>
      <c r="P54" s="25"/>
      <c r="Q54" s="116"/>
      <c r="S54" s="14"/>
      <c r="T54" s="78"/>
      <c r="U54" s="78"/>
      <c r="V54" s="78"/>
      <c r="W54" s="78"/>
      <c r="X54" s="78"/>
      <c r="Y54" s="78"/>
      <c r="Z54" s="80"/>
      <c r="AA54" s="25"/>
      <c r="AB54" s="25"/>
      <c r="AC54" s="25"/>
      <c r="AD54" s="25"/>
      <c r="AE54" s="111"/>
      <c r="AF54" s="25"/>
      <c r="AG54" s="25"/>
      <c r="AH54" s="25"/>
      <c r="AI54" s="120"/>
    </row>
    <row r="55" spans="1:35" ht="12.75" customHeight="1" x14ac:dyDescent="0.25">
      <c r="A55" s="14"/>
      <c r="B55" s="164" t="str">
        <f>'Enrollment Input'!B40</f>
        <v xml:space="preserve">Secondary </v>
      </c>
      <c r="C55" s="164"/>
      <c r="D55" s="164"/>
      <c r="E55" s="164"/>
      <c r="F55" s="164"/>
      <c r="G55" s="164"/>
      <c r="H55" s="5"/>
      <c r="I55" s="5"/>
      <c r="J55" s="155" t="str">
        <f>IF('Enrollment Input'!E40=0," ",'Enrollment Input'!E40)</f>
        <v xml:space="preserve"> </v>
      </c>
      <c r="K55" s="155"/>
      <c r="L55" s="16" t="s">
        <v>43</v>
      </c>
      <c r="M55" s="110">
        <f>IF(J55=" ",0,IF(J55&gt;99.99,LOOKUP(J55,criteria!$Q$3:$Q$10,criteria!$R$3:$R$10),LOOKUP('Enrollment Input'!$F$41,criteria!$Y$3:$Y$5,criteria!$Z$3:$Z$5)))</f>
        <v>0</v>
      </c>
      <c r="N55" s="14" t="s">
        <v>14</v>
      </c>
      <c r="O55" s="72">
        <f>ROUND(IF(J55=" ",0,IF(J55&lt;99.99,IF(M55=0,8,(J55/M55)),IF(Q55&lt;LOOKUP(J55,criteria!$Q$3:$Q$10,criteria!$S$3:$S$10),LOOKUP(J55,criteria!$Q$3:$Q$10,criteria!$S$3:$S$10),Q55))),2)</f>
        <v>0</v>
      </c>
      <c r="P55" s="25" t="str">
        <f>IF(O55=0," ",IF(O55=Q55," ","Minimum"))</f>
        <v xml:space="preserve"> </v>
      </c>
      <c r="Q55" s="116">
        <f>ROUND(IF(M55=0,0,(J55/M55)),2)</f>
        <v>0</v>
      </c>
      <c r="S55" s="14"/>
      <c r="T55" s="157" t="str">
        <f>'Enrollment Input'!B40</f>
        <v xml:space="preserve">Secondary </v>
      </c>
      <c r="U55" s="157"/>
      <c r="V55" s="157"/>
      <c r="W55" s="157"/>
      <c r="X55" s="157"/>
      <c r="Y55" s="157"/>
      <c r="Z55" s="80"/>
      <c r="AA55" s="80"/>
      <c r="AB55" s="155" t="str">
        <f>IF('Enrollment Input'!E40=0," ",'Enrollment Input'!E40)</f>
        <v xml:space="preserve"> </v>
      </c>
      <c r="AC55" s="155"/>
      <c r="AD55" s="86" t="s">
        <v>43</v>
      </c>
      <c r="AE55" s="110">
        <f>IF(AB55=" ",0,IF(AB55&gt;99.99,LOOKUP(AB55,criteria!$Q$3:$Q$10,criteria!$R$3:$R$10),LOOKUP('Enrollment Input'!$F$41,criteria!$Y$3:$Y$5,criteria!$Z$3:$Z$5)))</f>
        <v>0</v>
      </c>
      <c r="AF55" s="79" t="s">
        <v>14</v>
      </c>
      <c r="AG55" s="72">
        <f>ROUND(IF(AB55=" ",0,IF(AB55&lt;99.99,IF(AE55=0,8,(AB55/AE55)),IF(AI55&lt;LOOKUP(AB55,criteria!$Q$3:$Q$10,criteria!$S$3:$S$10),LOOKUP(AB55,criteria!$Q$3:$Q$10,criteria!$S$3:$S$10),AI55))),2)</f>
        <v>0</v>
      </c>
      <c r="AH55" s="25" t="str">
        <f>IF(AG55=0," ",IF(AG55=AI55," ","Minimum"))</f>
        <v xml:space="preserve"> </v>
      </c>
      <c r="AI55" s="120">
        <f>ROUND(IF(AE55=0,0,(AB55/AE55)),2)</f>
        <v>0</v>
      </c>
    </row>
    <row r="56" spans="1:35" ht="6.75" customHeight="1" x14ac:dyDescent="0.2">
      <c r="A56" s="14"/>
      <c r="J56" s="25"/>
      <c r="K56" s="25"/>
      <c r="M56" s="111"/>
      <c r="O56" s="25"/>
      <c r="P56" s="25"/>
      <c r="Q56" s="116"/>
      <c r="S56" s="14"/>
      <c r="T56" s="78"/>
      <c r="U56" s="78"/>
      <c r="V56" s="78"/>
      <c r="W56" s="78"/>
      <c r="X56" s="78"/>
      <c r="Y56" s="78"/>
      <c r="Z56" s="80"/>
      <c r="AA56" s="25"/>
      <c r="AB56" s="25"/>
      <c r="AC56" s="25"/>
      <c r="AD56" s="25"/>
      <c r="AE56" s="111"/>
      <c r="AF56" s="25"/>
      <c r="AG56" s="25"/>
      <c r="AH56" s="25"/>
      <c r="AI56" s="120"/>
    </row>
    <row r="57" spans="1:35" ht="12.75" customHeight="1" x14ac:dyDescent="0.25">
      <c r="A57" s="14" t="s">
        <v>91</v>
      </c>
      <c r="B57" s="164" t="str">
        <f>'Enrollment Input'!B44</f>
        <v xml:space="preserve">Kindergarten </v>
      </c>
      <c r="C57" s="164"/>
      <c r="D57" s="164"/>
      <c r="E57" s="164"/>
      <c r="F57" s="164"/>
      <c r="G57" s="164"/>
      <c r="H57" s="5"/>
      <c r="I57" s="5"/>
      <c r="J57" s="155" t="str">
        <f>IF('Enrollment Input'!E44=0," ",'Enrollment Input'!E44)</f>
        <v xml:space="preserve"> </v>
      </c>
      <c r="K57" s="155"/>
      <c r="L57" s="16" t="s">
        <v>43</v>
      </c>
      <c r="M57" s="110">
        <f>IF('Enrollment Input'!E44=0,0,LOOKUP(J57,criteria!$A$3:$A$10,criteria!$B$3:$B$10))</f>
        <v>0</v>
      </c>
      <c r="N57" s="14" t="s">
        <v>14</v>
      </c>
      <c r="O57" s="72">
        <f>IF(Q57=0,0,IF(LOOKUP(J57,criteria!$A$3:$A$10,criteria!$C$3:$C$10)=0,0,IF(Q57&lt;LOOKUP(J57,criteria!$A$3:$A$10,criteria!$C$3:$C$10),LOOKUP(J57,criteria!$A$3:$A$10,criteria!$C$3:$C$10),Q57)))</f>
        <v>0</v>
      </c>
      <c r="P57" s="84" t="str">
        <f>IF('Enrollment Input'!E44=0," ",IF(O57=0,"ADD to 1-3",IF(O57=Q57," ","Minimum")))</f>
        <v xml:space="preserve"> </v>
      </c>
      <c r="Q57" s="116">
        <f>ROUND(IF('Enrollment Input'!E44=0,0,IF(M57=0,0,(J57/M57))),2)</f>
        <v>0</v>
      </c>
      <c r="S57" s="14" t="s">
        <v>91</v>
      </c>
      <c r="T57" s="157" t="str">
        <f>'Enrollment Input'!B44</f>
        <v xml:space="preserve">Kindergarten </v>
      </c>
      <c r="U57" s="157"/>
      <c r="V57" s="157"/>
      <c r="W57" s="157"/>
      <c r="X57" s="157"/>
      <c r="Y57" s="157"/>
      <c r="Z57" s="80"/>
      <c r="AA57" s="80"/>
      <c r="AB57" s="155" t="str">
        <f>IF('Enrollment Input'!E44=0," ",'Enrollment Input'!E44)</f>
        <v xml:space="preserve"> </v>
      </c>
      <c r="AC57" s="155"/>
      <c r="AD57" s="86" t="s">
        <v>43</v>
      </c>
      <c r="AE57" s="110">
        <f>IF('Enrollment Input'!E44=0,0,LOOKUP(AB57,criteria!$A$3:$A$10,criteria!$B$3:$B$10))</f>
        <v>0</v>
      </c>
      <c r="AF57" s="79" t="s">
        <v>14</v>
      </c>
      <c r="AG57" s="72">
        <f>IF(AI57=0,0,IF(LOOKUP(AB57,criteria!$A$3:$A$10,criteria!$C$3:$C$10)=0,0,IF(AI57&lt;LOOKUP(AB57,criteria!$A$3:$A$10,criteria!$C$3:$C$10),LOOKUP(AB57,criteria!$A$3:$A$10,criteria!$C$3:$C$10),AI57)))</f>
        <v>0</v>
      </c>
      <c r="AH57" s="84" t="str">
        <f>IF('Enrollment Input'!E44=0," ",IF(AG57=0,"ADD to 1-3",IF(AG57=AI57," ","Minimum")))</f>
        <v xml:space="preserve"> </v>
      </c>
      <c r="AI57" s="120">
        <f>ROUND(IF('Enrollment Input'!E44=0,0,IF(AE57=0,0,(AB57/AE57))),2)</f>
        <v>0</v>
      </c>
    </row>
    <row r="58" spans="1:35" ht="5.25" customHeight="1" x14ac:dyDescent="0.2">
      <c r="A58" s="14"/>
      <c r="J58" s="25"/>
      <c r="K58" s="25"/>
      <c r="M58" s="111"/>
      <c r="O58" s="25"/>
      <c r="P58" s="25"/>
      <c r="Q58" s="116"/>
      <c r="S58" s="14"/>
      <c r="T58" s="78"/>
      <c r="U58" s="78"/>
      <c r="V58" s="78"/>
      <c r="W58" s="78"/>
      <c r="X58" s="78"/>
      <c r="Y58" s="78"/>
      <c r="Z58" s="80"/>
      <c r="AA58" s="25"/>
      <c r="AB58" s="25"/>
      <c r="AC58" s="25"/>
      <c r="AD58" s="25"/>
      <c r="AE58" s="111"/>
      <c r="AF58" s="25"/>
      <c r="AG58" s="25"/>
      <c r="AH58" s="25"/>
      <c r="AI58" s="120"/>
    </row>
    <row r="59" spans="1:35" ht="12.75" customHeight="1" x14ac:dyDescent="0.25">
      <c r="A59" s="14"/>
      <c r="B59" s="164" t="str">
        <f>'Enrollment Input'!B45</f>
        <v>Grades 1-3</v>
      </c>
      <c r="C59" s="164"/>
      <c r="D59" s="164"/>
      <c r="E59" s="164"/>
      <c r="F59" s="164"/>
      <c r="G59" s="164"/>
      <c r="H59" s="6"/>
      <c r="J59" s="155" t="str">
        <f>IF('Enrollment Input'!$E$45=0," ",IF($P$57="ADD to 1-3",SUM('Enrollment Input'!$E$45+'Enrollment Input'!$E$44),'Enrollment Input'!$E$45))</f>
        <v xml:space="preserve"> </v>
      </c>
      <c r="K59" s="155"/>
      <c r="L59" s="16" t="s">
        <v>43</v>
      </c>
      <c r="M59" s="110">
        <f>IF('Enrollment Input'!E45=0,0,IF(SUM($J$59+$J$60)&gt;299.99,20,0))</f>
        <v>0</v>
      </c>
      <c r="N59" s="14" t="s">
        <v>14</v>
      </c>
      <c r="O59" s="90">
        <f>ROUND(IF(('Enrollment Input'!$E$45+'Enrollment Input'!$E$46)&lt;300,0,IF(Q59+Q60&lt;15,0,(J59/M59))),2)</f>
        <v>0</v>
      </c>
      <c r="P59" s="84" t="str">
        <f>IF('Enrollment Input'!E45=0," ",IF(O59=0,"ADD to 4-6",IF(O59=Q59," ","Minimum")))</f>
        <v xml:space="preserve"> </v>
      </c>
      <c r="Q59" s="116">
        <f>ROUND(IF('Enrollment Input'!E45=0,0,IF(M59=0,0,(J59/M59))),2)</f>
        <v>0</v>
      </c>
      <c r="S59" s="14"/>
      <c r="T59" s="157" t="str">
        <f>'Enrollment Input'!B45</f>
        <v>Grades 1-3</v>
      </c>
      <c r="U59" s="157"/>
      <c r="V59" s="157"/>
      <c r="W59" s="157"/>
      <c r="X59" s="157"/>
      <c r="Y59" s="157"/>
      <c r="Z59" s="80"/>
      <c r="AA59" s="25"/>
      <c r="AB59" s="155" t="str">
        <f>IF('Enrollment Input'!$E$45=0," ",IF($P$58="ADD to 1-3",SUM('Enrollment Input'!$E$45+'Enrollment Input'!$E$44),'Enrollment Input'!$E$45))</f>
        <v xml:space="preserve"> </v>
      </c>
      <c r="AC59" s="155"/>
      <c r="AD59" s="86" t="s">
        <v>43</v>
      </c>
      <c r="AE59" s="110">
        <f>IF('Enrollment Input'!E45=0,0,IF(SUM($AB$59+$AB$60)&gt;299.99,20,0))</f>
        <v>0</v>
      </c>
      <c r="AF59" s="79" t="s">
        <v>14</v>
      </c>
      <c r="AG59" s="98">
        <f>ROUND(IF(('Enrollment Input'!$E$45+'Enrollment Input'!$E$46)&lt;300,0,IF(AI59+AI60&lt;15,0,(AB59/AE59))),2)</f>
        <v>0</v>
      </c>
      <c r="AH59" s="84" t="str">
        <f>IF('Enrollment Input'!E45=0," ",IF(AG59=0,"ADD to 1-6",IF(AG59=AI59," ","Minimum")))</f>
        <v xml:space="preserve"> </v>
      </c>
      <c r="AI59" s="120">
        <f>ROUND(IF('Enrollment Input'!E45=0,0,IF(AE59=0,0,(AB59/AE59))),2)</f>
        <v>0</v>
      </c>
    </row>
    <row r="60" spans="1:35" ht="15.75" customHeight="1" x14ac:dyDescent="0.25">
      <c r="B60" s="164" t="str">
        <f>'Enrollment Input'!B46</f>
        <v>Grades 4-6</v>
      </c>
      <c r="C60" s="164"/>
      <c r="D60" s="164"/>
      <c r="E60" s="164"/>
      <c r="F60" s="164"/>
      <c r="G60" s="164"/>
      <c r="H60" s="5"/>
      <c r="I60" s="5"/>
      <c r="J60" s="155" t="str">
        <f>IF('Enrollment Input'!$E$46=0," ",'Enrollment Input'!$E$46)</f>
        <v xml:space="preserve"> </v>
      </c>
      <c r="K60" s="155"/>
      <c r="L60" s="16" t="s">
        <v>43</v>
      </c>
      <c r="M60" s="110">
        <f>IF('Enrollment Input'!E46=0,0,IF(SUM($J$59+$J$60)&gt;299.99,23,0))</f>
        <v>0</v>
      </c>
      <c r="N60" s="14" t="s">
        <v>14</v>
      </c>
      <c r="O60" s="90">
        <f>ROUND(IF(('Enrollment Input'!$E$45+'Enrollment Input'!$E$46)&lt;300,0,IF(Q60+Q59&lt;15,0,(J60/M60))),2)</f>
        <v>0</v>
      </c>
      <c r="P60" s="84" t="str">
        <f>IF('Enrollment Input'!$E$46=0," ",IF(O60=0,"ADD to 1-3",IF(O60=Q60," ","Minimum")))</f>
        <v xml:space="preserve"> </v>
      </c>
      <c r="Q60" s="116">
        <f>ROUND(IF('Enrollment Input'!E46=0,0,(J60/M60)),2)</f>
        <v>0</v>
      </c>
      <c r="S60" s="3"/>
      <c r="T60" s="156" t="str">
        <f>'Enrollment Input'!B46</f>
        <v>Grades 4-6</v>
      </c>
      <c r="U60" s="156"/>
      <c r="V60" s="156"/>
      <c r="W60" s="156"/>
      <c r="X60" s="156"/>
      <c r="Y60" s="156"/>
      <c r="Z60" s="80"/>
      <c r="AA60" s="80"/>
      <c r="AB60" s="170" t="str">
        <f>IF('Enrollment Input'!$E$46=0," ",'Enrollment Input'!$E$46)</f>
        <v xml:space="preserve"> </v>
      </c>
      <c r="AC60" s="170"/>
      <c r="AD60" s="86" t="s">
        <v>43</v>
      </c>
      <c r="AE60" s="110">
        <f>IF('Enrollment Input'!E46=0,0,IF(SUM($AB$59+$AB$60)&gt;299.99,23,0))</f>
        <v>0</v>
      </c>
      <c r="AF60" s="79" t="s">
        <v>14</v>
      </c>
      <c r="AG60" s="98">
        <f>ROUND(IF(('Enrollment Input'!$E$45+'Enrollment Input'!$E$46)&lt;300,0,IF(AI60+AI59&lt;15,0,(AB60/AE60))),2)</f>
        <v>0</v>
      </c>
      <c r="AH60" s="84" t="str">
        <f>IF('Enrollment Input'!$E$46=0," ",IF(AG60=0,"ADD to 1-3",IF(AG60=AI60," ","Minimum")))</f>
        <v xml:space="preserve"> </v>
      </c>
      <c r="AI60" s="120">
        <f>ROUND(IF('Enrollment Input'!E46=0,0,(AB60/AE60)),2)</f>
        <v>0</v>
      </c>
    </row>
    <row r="61" spans="1:35" s="71" customFormat="1" ht="15.75" customHeight="1" x14ac:dyDescent="0.25">
      <c r="A61" s="3"/>
      <c r="B61" s="93"/>
      <c r="C61" s="93"/>
      <c r="D61" s="93"/>
      <c r="E61" s="93"/>
      <c r="F61" s="93"/>
      <c r="G61" s="93"/>
      <c r="H61" s="93"/>
      <c r="I61" s="93"/>
      <c r="J61" s="91"/>
      <c r="K61" s="91"/>
      <c r="L61" s="16"/>
      <c r="M61" s="112"/>
      <c r="N61" s="14"/>
      <c r="O61" s="79" t="str">
        <f>IF(P61="Minimum",15," ")</f>
        <v xml:space="preserve"> </v>
      </c>
      <c r="P61" s="25" t="str">
        <f>IF(Q59+Q60=0," ",IF(Q59+Q60&lt;15,"Minimum"," "))</f>
        <v xml:space="preserve"> </v>
      </c>
      <c r="Q61" s="116"/>
      <c r="S61" s="3"/>
      <c r="T61" s="104"/>
      <c r="U61" s="104"/>
      <c r="V61" s="104"/>
      <c r="W61" s="104"/>
      <c r="X61" s="104"/>
      <c r="Y61" s="104"/>
      <c r="Z61" s="80"/>
      <c r="AA61" s="80"/>
      <c r="AB61" s="91"/>
      <c r="AC61" s="91"/>
      <c r="AD61" s="86"/>
      <c r="AE61" s="112"/>
      <c r="AF61" s="79"/>
      <c r="AG61" s="79" t="str">
        <f>IF(AH61="Minimum",15," ")</f>
        <v xml:space="preserve"> </v>
      </c>
      <c r="AH61" s="25" t="str">
        <f>IF(AI59+AI60=0," ",IF(AI59+AI60&lt;15,"Minimum"," "))</f>
        <v xml:space="preserve"> </v>
      </c>
      <c r="AI61" s="120"/>
    </row>
    <row r="62" spans="1:35" ht="6.75" customHeight="1" x14ac:dyDescent="0.2">
      <c r="J62" s="25"/>
      <c r="K62" s="25"/>
      <c r="M62" s="111"/>
      <c r="O62" s="25"/>
      <c r="P62" s="25"/>
      <c r="Q62" s="116"/>
      <c r="S62" s="3"/>
      <c r="T62" s="78"/>
      <c r="U62" s="78"/>
      <c r="V62" s="78"/>
      <c r="W62" s="78"/>
      <c r="X62" s="78"/>
      <c r="Y62" s="78"/>
      <c r="Z62" s="80"/>
      <c r="AA62" s="25"/>
      <c r="AB62" s="25"/>
      <c r="AC62" s="25"/>
      <c r="AD62" s="25"/>
      <c r="AE62" s="111"/>
      <c r="AF62" s="25"/>
      <c r="AG62" s="25"/>
      <c r="AH62" s="25"/>
      <c r="AI62" s="120"/>
    </row>
    <row r="63" spans="1:35" ht="12.75" customHeight="1" x14ac:dyDescent="0.25">
      <c r="B63" s="164" t="str">
        <f>'Enrollment Input'!B47</f>
        <v xml:space="preserve">Secondary </v>
      </c>
      <c r="C63" s="164"/>
      <c r="D63" s="164"/>
      <c r="E63" s="164"/>
      <c r="F63" s="164"/>
      <c r="G63" s="164"/>
      <c r="H63" s="5"/>
      <c r="I63" s="5"/>
      <c r="J63" s="155" t="str">
        <f>IF('Enrollment Input'!E47=0," ",'Enrollment Input'!E47)</f>
        <v xml:space="preserve"> </v>
      </c>
      <c r="K63" s="155"/>
      <c r="L63" s="16" t="s">
        <v>43</v>
      </c>
      <c r="M63" s="110">
        <f>IF(J63=" ",0,IF(J63&gt;99.99,LOOKUP(J63,criteria!$Q$3:$Q$10,criteria!$R$3:$R$10),LOOKUP('Enrollment Input'!$F$48,criteria!$Y$3:$Y$5,criteria!$Z$3:$Z$5)))</f>
        <v>0</v>
      </c>
      <c r="N63" s="14" t="s">
        <v>14</v>
      </c>
      <c r="O63" s="72">
        <f>ROUND(IF(J63=" ",0,IF(J63&lt;99.99,IF(M63=0,8,(J63/M63)),IF(Q63&lt;LOOKUP(J63,criteria!$Q$3:$Q$10,criteria!$S$3:$S$10),LOOKUP(J63,criteria!$Q$3:$Q$10,criteria!$S$3:$S$10),Q63))),2)</f>
        <v>0</v>
      </c>
      <c r="P63" s="25" t="str">
        <f>IF(O63=0," ",IF(O63=Q63," ","Minimum"))</f>
        <v xml:space="preserve"> </v>
      </c>
      <c r="Q63" s="116">
        <f>ROUND(IF(M63=0,0,(J63/M63)),2)</f>
        <v>0</v>
      </c>
      <c r="S63" s="3"/>
      <c r="T63" s="157" t="str">
        <f>'Enrollment Input'!B47</f>
        <v xml:space="preserve">Secondary </v>
      </c>
      <c r="U63" s="157"/>
      <c r="V63" s="157"/>
      <c r="W63" s="157"/>
      <c r="X63" s="157"/>
      <c r="Y63" s="157"/>
      <c r="Z63" s="80"/>
      <c r="AA63" s="80"/>
      <c r="AB63" s="155" t="str">
        <f>IF('Enrollment Input'!E47=0," ",'Enrollment Input'!E47)</f>
        <v xml:space="preserve"> </v>
      </c>
      <c r="AC63" s="155"/>
      <c r="AD63" s="86" t="s">
        <v>43</v>
      </c>
      <c r="AE63" s="110">
        <f>IF(AB63=" ",0,IF(AB63&gt;99.99,LOOKUP(AB63,criteria!$Q$3:$Q$10,criteria!$R$3:$R$10),LOOKUP('Enrollment Input'!$F$48,criteria!$Y$3:$Y$5,criteria!$Z$3:$Z$5)))</f>
        <v>0</v>
      </c>
      <c r="AF63" s="79" t="s">
        <v>14</v>
      </c>
      <c r="AG63" s="72">
        <f>ROUND(IF(AB63=" ",0,IF(AB63&lt;99.99,IF(AE63=0,8,(AB63/AE63)),IF(AI63&lt;LOOKUP(AB63,criteria!$Q$3:$Q$10,criteria!$S$3:$S$10),LOOKUP(AB63,criteria!$Q$3:$Q$10,criteria!$S$3:$S$10),AI63))),2)</f>
        <v>0</v>
      </c>
      <c r="AH63" s="25" t="str">
        <f>IF(AG63=0," ",IF(AG63=AI63," ","Minimum"))</f>
        <v xml:space="preserve"> </v>
      </c>
      <c r="AI63" s="120">
        <f>ROUND(IF(AE63=0,0,(AB63/AE63)),2)</f>
        <v>0</v>
      </c>
    </row>
    <row r="64" spans="1:35" x14ac:dyDescent="0.2">
      <c r="B64" s="5"/>
      <c r="C64" s="5"/>
      <c r="D64" s="5"/>
      <c r="E64" s="5"/>
      <c r="F64" s="5"/>
      <c r="G64" s="5"/>
      <c r="H64" s="5"/>
      <c r="I64" s="5"/>
      <c r="J64" s="28"/>
      <c r="K64" s="28"/>
      <c r="M64" s="112"/>
      <c r="N64" s="14"/>
      <c r="O64" s="28"/>
      <c r="P64" s="25"/>
      <c r="Q64" s="116"/>
      <c r="S64" s="3"/>
      <c r="T64" s="75"/>
      <c r="U64" s="75"/>
      <c r="V64" s="75"/>
      <c r="W64" s="75"/>
      <c r="X64" s="75"/>
      <c r="Y64" s="75"/>
      <c r="Z64" s="80"/>
      <c r="AA64" s="80"/>
      <c r="AB64" s="28"/>
      <c r="AC64" s="28"/>
      <c r="AD64" s="25"/>
      <c r="AE64" s="112"/>
      <c r="AF64" s="79"/>
      <c r="AG64" s="28"/>
      <c r="AH64" s="25"/>
      <c r="AI64" s="120"/>
    </row>
    <row r="65" spans="1:35" ht="19.5" customHeight="1" x14ac:dyDescent="0.25">
      <c r="A65" s="4" t="s">
        <v>98</v>
      </c>
      <c r="J65" s="25"/>
      <c r="K65" s="25"/>
      <c r="M65" s="111"/>
      <c r="O65" s="25"/>
      <c r="P65" s="25"/>
      <c r="Q65" s="116"/>
      <c r="S65" s="4" t="s">
        <v>98</v>
      </c>
      <c r="Z65" s="25"/>
      <c r="AA65" s="25"/>
      <c r="AB65" s="25"/>
      <c r="AC65" s="25"/>
      <c r="AD65" s="25"/>
      <c r="AE65" s="111"/>
      <c r="AF65" s="25"/>
      <c r="AG65" s="25"/>
      <c r="AH65" s="25"/>
      <c r="AI65" s="120"/>
    </row>
    <row r="66" spans="1:35" ht="15.75" x14ac:dyDescent="0.25">
      <c r="B66" s="164" t="str">
        <f>IF('Enrollment Input'!E51=0," ","Alternative Secondary High School")</f>
        <v xml:space="preserve"> </v>
      </c>
      <c r="C66" s="164"/>
      <c r="D66" s="164"/>
      <c r="E66" s="164"/>
      <c r="F66" s="164"/>
      <c r="G66" s="164"/>
      <c r="H66" s="5"/>
      <c r="I66" s="5"/>
      <c r="J66" s="155">
        <f>'Enrollment Input'!E51</f>
        <v>0</v>
      </c>
      <c r="K66" s="155"/>
      <c r="L66" s="16" t="s">
        <v>43</v>
      </c>
      <c r="M66" s="113">
        <f>IF(J66=0,0,IF(Q66&lt;1,M17,12))</f>
        <v>0</v>
      </c>
      <c r="N66" s="14" t="s">
        <v>14</v>
      </c>
      <c r="O66" s="72">
        <f>ROUND(IF(J66=0,0,J66/M66),2)</f>
        <v>0</v>
      </c>
      <c r="P66" s="85"/>
      <c r="Q66" s="116">
        <f>ROUND(IF(J66=0,0,J66/12),2)</f>
        <v>0</v>
      </c>
      <c r="S66" s="3"/>
      <c r="T66" s="157" t="str">
        <f>IF('Enrollment Input'!E51=0," ","Alternative Secondary High School")</f>
        <v xml:space="preserve"> </v>
      </c>
      <c r="U66" s="157"/>
      <c r="V66" s="157"/>
      <c r="W66" s="157"/>
      <c r="X66" s="157"/>
      <c r="Y66" s="157"/>
      <c r="Z66" s="80"/>
      <c r="AA66" s="80"/>
      <c r="AB66" s="155">
        <f>'Enrollment Input'!E51</f>
        <v>0</v>
      </c>
      <c r="AC66" s="155"/>
      <c r="AD66" s="86" t="s">
        <v>43</v>
      </c>
      <c r="AE66" s="110">
        <f>IF(AB66=0,0,IF(AI66&lt;1,AE17,12))</f>
        <v>0</v>
      </c>
      <c r="AF66" s="79" t="s">
        <v>14</v>
      </c>
      <c r="AG66" s="72">
        <f>ROUND(IF(AB66=0,0,AB66/AE66),2)</f>
        <v>0</v>
      </c>
      <c r="AH66" s="85"/>
      <c r="AI66" s="120">
        <f>ROUND(IF(AB66=0,0,AB66/12),2)</f>
        <v>0</v>
      </c>
    </row>
    <row r="67" spans="1:35" ht="11.25" customHeight="1" x14ac:dyDescent="0.2">
      <c r="J67" s="25"/>
      <c r="K67" s="25"/>
      <c r="M67" s="111"/>
      <c r="O67" s="25"/>
      <c r="P67" s="25"/>
      <c r="Q67" s="116"/>
      <c r="S67" s="3"/>
      <c r="T67" s="78"/>
      <c r="U67" s="78"/>
      <c r="V67" s="78"/>
      <c r="W67" s="78"/>
      <c r="X67" s="78"/>
      <c r="Y67" s="78"/>
      <c r="Z67" s="25"/>
      <c r="AA67" s="25"/>
      <c r="AB67" s="25"/>
      <c r="AC67" s="25"/>
      <c r="AD67" s="25"/>
      <c r="AE67" s="111"/>
      <c r="AF67" s="25"/>
      <c r="AG67" s="25"/>
      <c r="AH67" s="25"/>
      <c r="AI67" s="120"/>
    </row>
    <row r="68" spans="1:35" ht="11.25" customHeight="1" x14ac:dyDescent="0.25">
      <c r="B68" s="164" t="str">
        <f>IF('Enrollment Input'!E53=0," ","Summer Alternative Secondary High School")</f>
        <v xml:space="preserve"> </v>
      </c>
      <c r="C68" s="164"/>
      <c r="D68" s="164"/>
      <c r="E68" s="164"/>
      <c r="F68" s="164"/>
      <c r="G68" s="164"/>
      <c r="J68" s="155">
        <f>'Enrollment Input'!E53</f>
        <v>0</v>
      </c>
      <c r="K68" s="155"/>
      <c r="L68" s="16" t="s">
        <v>43</v>
      </c>
      <c r="M68" s="110">
        <f>IF(J68=0,0,40)</f>
        <v>0</v>
      </c>
      <c r="N68" s="14" t="s">
        <v>14</v>
      </c>
      <c r="O68" s="72">
        <f>ROUND(IF(J68=0,0,J68/M68),2)</f>
        <v>0</v>
      </c>
      <c r="P68" s="85"/>
      <c r="Q68" s="116">
        <f>ROUND(IF(J68=0,0,J68/40),2)</f>
        <v>0</v>
      </c>
      <c r="S68" s="3"/>
      <c r="T68" s="157" t="str">
        <f>IF('Enrollment Input'!E53=0," ","Summer Alternative Secondary High School")</f>
        <v xml:space="preserve"> </v>
      </c>
      <c r="U68" s="157"/>
      <c r="V68" s="157"/>
      <c r="W68" s="157"/>
      <c r="X68" s="157"/>
      <c r="Y68" s="157"/>
      <c r="Z68" s="25"/>
      <c r="AA68" s="25"/>
      <c r="AB68" s="155">
        <f>'Enrollment Input'!E53</f>
        <v>0</v>
      </c>
      <c r="AC68" s="155"/>
      <c r="AD68" s="86" t="s">
        <v>43</v>
      </c>
      <c r="AE68" s="110">
        <f>IF(AB68=0,0,40)</f>
        <v>0</v>
      </c>
      <c r="AF68" s="79" t="s">
        <v>14</v>
      </c>
      <c r="AG68" s="72">
        <f>ROUND(IF(AB68=0,0,AB68/AE68),2)</f>
        <v>0</v>
      </c>
      <c r="AH68" s="85"/>
      <c r="AI68" s="120">
        <f>ROUND(IF(AB68=0,0,AB68/12),2)</f>
        <v>0</v>
      </c>
    </row>
    <row r="69" spans="1:35" s="71" customFormat="1" ht="11.25" customHeight="1" x14ac:dyDescent="0.2">
      <c r="A69" s="3"/>
      <c r="J69" s="25"/>
      <c r="K69" s="25"/>
      <c r="M69" s="111"/>
      <c r="O69" s="25"/>
      <c r="P69" s="25"/>
      <c r="Q69" s="116"/>
      <c r="S69" s="3"/>
      <c r="T69" s="78"/>
      <c r="U69" s="78"/>
      <c r="V69" s="78"/>
      <c r="W69" s="78"/>
      <c r="X69" s="78"/>
      <c r="Y69" s="78"/>
      <c r="Z69" s="25"/>
      <c r="AA69" s="25"/>
      <c r="AB69" s="25"/>
      <c r="AC69" s="25"/>
      <c r="AD69" s="25"/>
      <c r="AE69" s="111"/>
      <c r="AF69" s="25"/>
      <c r="AG69" s="25"/>
      <c r="AH69" s="25"/>
      <c r="AI69" s="120"/>
    </row>
    <row r="70" spans="1:35" s="71" customFormat="1" ht="11.25" customHeight="1" x14ac:dyDescent="0.25">
      <c r="A70" s="3"/>
      <c r="B70" s="164" t="str">
        <f>IF('Enrollment Input'!E62=0," ","Summer Juvenile Detention Center")</f>
        <v xml:space="preserve"> </v>
      </c>
      <c r="C70" s="164"/>
      <c r="D70" s="164"/>
      <c r="E70" s="164"/>
      <c r="F70" s="164"/>
      <c r="G70" s="164"/>
      <c r="J70" s="155">
        <f>'Enrollment Input'!E62</f>
        <v>0</v>
      </c>
      <c r="K70" s="155"/>
      <c r="L70" s="16" t="s">
        <v>43</v>
      </c>
      <c r="M70" s="110">
        <f>IF(J70=0,0,40)</f>
        <v>0</v>
      </c>
      <c r="N70" s="14" t="s">
        <v>14</v>
      </c>
      <c r="O70" s="90">
        <f>ROUND(IF(J70=0,0,J70/M70),2)</f>
        <v>0</v>
      </c>
      <c r="P70" s="85"/>
      <c r="Q70" s="116">
        <f>ROUND(IF(J70=0,0,J70/40),2)</f>
        <v>0</v>
      </c>
      <c r="S70" s="3"/>
      <c r="T70" s="157" t="str">
        <f>IF('Enrollment Input'!E62=0," ","Summer Juvenile Detention Center")</f>
        <v xml:space="preserve"> </v>
      </c>
      <c r="U70" s="157"/>
      <c r="V70" s="157"/>
      <c r="W70" s="157"/>
      <c r="X70" s="157"/>
      <c r="Y70" s="157"/>
      <c r="Z70" s="25"/>
      <c r="AA70" s="25"/>
      <c r="AB70" s="155">
        <f>'Enrollment Input'!E62</f>
        <v>0</v>
      </c>
      <c r="AC70" s="155"/>
      <c r="AD70" s="86" t="s">
        <v>43</v>
      </c>
      <c r="AE70" s="110">
        <f>IF(AB70=0,0,40)</f>
        <v>0</v>
      </c>
      <c r="AF70" s="79" t="s">
        <v>14</v>
      </c>
      <c r="AG70" s="90">
        <f>ROUND(IF(AB70=0,0,AB70/AE70),2)</f>
        <v>0</v>
      </c>
      <c r="AH70" s="85"/>
      <c r="AI70" s="120">
        <f>ROUND(IF(AB70=0,0,AB70/12),2)</f>
        <v>0</v>
      </c>
    </row>
    <row r="71" spans="1:35" ht="13.5" customHeight="1" x14ac:dyDescent="0.25">
      <c r="J71" s="15"/>
      <c r="K71" s="15"/>
      <c r="L71" s="16"/>
      <c r="M71" s="15"/>
      <c r="N71" s="14"/>
      <c r="O71" s="15"/>
      <c r="P71" s="1"/>
      <c r="Q71" s="115"/>
      <c r="S71" s="3"/>
      <c r="Z71" s="25"/>
      <c r="AA71" s="25"/>
      <c r="AB71" s="28"/>
      <c r="AC71" s="28"/>
      <c r="AD71" s="86"/>
      <c r="AE71" s="28"/>
      <c r="AF71" s="79"/>
      <c r="AG71" s="28"/>
      <c r="AH71" s="85"/>
      <c r="AI71" s="120"/>
    </row>
    <row r="72" spans="1:35" ht="18.75" customHeight="1" thickBot="1" x14ac:dyDescent="0.25">
      <c r="A72" s="7"/>
      <c r="B72" s="12" t="s">
        <v>135</v>
      </c>
      <c r="C72" s="1"/>
      <c r="D72" s="1"/>
      <c r="E72" s="1"/>
      <c r="F72" s="1"/>
      <c r="G72" s="1"/>
      <c r="H72" s="1"/>
      <c r="I72" s="1"/>
      <c r="J72" s="1"/>
      <c r="K72" s="1"/>
      <c r="M72" s="17" t="s">
        <v>14</v>
      </c>
      <c r="N72" s="162">
        <f>ROUND(IF(SUM(O6:O70)=0,0,SUM(O6:O70)),2)</f>
        <v>0</v>
      </c>
      <c r="O72" s="162"/>
      <c r="Q72" s="115"/>
      <c r="S72" s="7"/>
      <c r="T72" s="12" t="s">
        <v>124</v>
      </c>
      <c r="U72" s="1"/>
      <c r="V72" s="1"/>
      <c r="W72" s="1"/>
      <c r="X72" s="1"/>
      <c r="Y72" s="1"/>
      <c r="Z72" s="85"/>
      <c r="AA72" s="85"/>
      <c r="AB72" s="85"/>
      <c r="AC72" s="85"/>
      <c r="AD72" s="25"/>
      <c r="AE72" s="79" t="s">
        <v>14</v>
      </c>
      <c r="AF72" s="169">
        <f>ROUND(IF(SUM(AG6:AG68)=0,0,SUM(AG6:AG68)),2)</f>
        <v>0</v>
      </c>
      <c r="AG72" s="169"/>
      <c r="AH72" s="25"/>
      <c r="AI72" s="120"/>
    </row>
    <row r="73" spans="1:35" ht="13.5" thickTop="1" x14ac:dyDescent="0.2">
      <c r="B73" s="6"/>
      <c r="C73" s="6"/>
      <c r="D73" s="6"/>
      <c r="E73" s="6"/>
      <c r="F73" s="6"/>
      <c r="G73" s="6"/>
      <c r="H73" s="6"/>
      <c r="I73" s="6"/>
      <c r="J73" s="6"/>
      <c r="K73" s="6"/>
      <c r="L73" s="6"/>
      <c r="M73" s="165" t="str">
        <f>IF(N72=0," ",IF(N72&lt;AF72,"Do Not Use this Calculation","Use this Calculation"))</f>
        <v xml:space="preserve"> </v>
      </c>
      <c r="N73" s="165"/>
      <c r="O73" s="165"/>
      <c r="P73" s="6"/>
      <c r="Q73" s="118"/>
      <c r="S73" s="3"/>
      <c r="Z73" s="25"/>
      <c r="AA73" s="25"/>
      <c r="AB73" s="25"/>
      <c r="AC73" s="25"/>
      <c r="AD73" s="25"/>
      <c r="AE73" s="165" t="str">
        <f>IF(AF72=0," ",IF(AF72&lt;N72,"Do Not Use this Calculation","Use this Calculation"))</f>
        <v xml:space="preserve"> </v>
      </c>
      <c r="AF73" s="165"/>
      <c r="AG73" s="165"/>
      <c r="AH73" s="28"/>
      <c r="AI73" s="120"/>
    </row>
    <row r="74" spans="1:35" x14ac:dyDescent="0.2">
      <c r="C74" s="106"/>
      <c r="D74" s="6"/>
      <c r="E74" s="6"/>
      <c r="F74" s="6"/>
      <c r="G74" s="6"/>
      <c r="H74" s="6"/>
      <c r="I74" s="6"/>
      <c r="J74" s="6"/>
      <c r="K74" s="6"/>
      <c r="L74" s="6"/>
      <c r="M74" s="6"/>
      <c r="N74" s="167"/>
      <c r="O74" s="168"/>
      <c r="P74" s="6"/>
      <c r="Q74" s="118"/>
      <c r="S74" s="3"/>
      <c r="U74" s="10"/>
      <c r="Z74" s="25"/>
      <c r="AA74" s="25"/>
      <c r="AB74" s="25"/>
      <c r="AC74" s="25"/>
      <c r="AD74" s="25"/>
      <c r="AE74" s="25"/>
      <c r="AF74" s="88"/>
      <c r="AG74" s="89"/>
      <c r="AH74" s="25"/>
      <c r="AI74" s="120"/>
    </row>
    <row r="75" spans="1:35" x14ac:dyDescent="0.2">
      <c r="B75" s="107" t="s">
        <v>136</v>
      </c>
      <c r="C75" s="108"/>
      <c r="D75" s="6"/>
      <c r="E75" s="6"/>
      <c r="F75" s="6"/>
      <c r="G75" s="6"/>
      <c r="H75" s="6"/>
      <c r="I75" s="6"/>
      <c r="J75" s="6"/>
      <c r="K75" s="6"/>
      <c r="L75" s="6"/>
      <c r="M75" s="6"/>
      <c r="N75" s="92"/>
      <c r="O75" s="92"/>
      <c r="P75" s="6"/>
      <c r="Q75" s="118"/>
      <c r="S75" s="3"/>
      <c r="T75" s="107" t="s">
        <v>136</v>
      </c>
      <c r="Z75" s="25"/>
      <c r="AA75" s="25"/>
      <c r="AB75" s="25"/>
      <c r="AC75" s="25"/>
      <c r="AD75" s="25"/>
      <c r="AE75" s="25"/>
      <c r="AF75" s="79"/>
      <c r="AG75" s="79"/>
      <c r="AH75" s="25"/>
      <c r="AI75" s="120"/>
    </row>
    <row r="76" spans="1:35" ht="15.75" customHeight="1" x14ac:dyDescent="0.2">
      <c r="B76" s="9"/>
      <c r="C76" s="6"/>
      <c r="D76" s="6"/>
      <c r="E76" s="6"/>
      <c r="F76" s="6"/>
      <c r="G76" s="6"/>
      <c r="H76" s="6"/>
      <c r="I76" s="6"/>
      <c r="J76" s="6"/>
      <c r="K76" s="6"/>
      <c r="L76" s="6"/>
      <c r="M76" s="6"/>
      <c r="N76" s="166"/>
      <c r="O76" s="166"/>
      <c r="P76" s="6"/>
      <c r="Q76" s="118"/>
      <c r="S76" s="3"/>
      <c r="T76" s="1"/>
      <c r="Z76" s="25"/>
      <c r="AA76" s="25"/>
      <c r="AB76" s="25"/>
      <c r="AC76" s="25"/>
      <c r="AD76" s="25"/>
      <c r="AE76" s="25"/>
      <c r="AF76" s="171"/>
      <c r="AG76" s="171"/>
      <c r="AH76" s="25"/>
      <c r="AI76" s="120"/>
    </row>
    <row r="77" spans="1:35" x14ac:dyDescent="0.2">
      <c r="B77" s="6"/>
      <c r="C77" s="6"/>
      <c r="D77" s="6"/>
      <c r="E77" s="6"/>
      <c r="F77" s="6"/>
      <c r="G77" s="6"/>
      <c r="H77" s="6"/>
      <c r="I77" s="6"/>
      <c r="J77" s="6"/>
      <c r="K77" s="6"/>
      <c r="L77" s="6"/>
      <c r="M77" s="6"/>
      <c r="N77" s="6"/>
      <c r="O77" s="6"/>
      <c r="P77" s="6"/>
      <c r="Q77" s="118"/>
      <c r="Z77" s="25"/>
      <c r="AA77" s="25"/>
      <c r="AB77" s="25"/>
      <c r="AC77" s="25"/>
      <c r="AD77" s="25"/>
      <c r="AE77" s="25"/>
      <c r="AF77" s="25"/>
      <c r="AG77" s="25"/>
      <c r="AH77" s="25"/>
      <c r="AI77" s="120"/>
    </row>
    <row r="78" spans="1:35" x14ac:dyDescent="0.2">
      <c r="Q78" s="119"/>
      <c r="AI78" s="119"/>
    </row>
    <row r="79" spans="1:35" x14ac:dyDescent="0.2">
      <c r="Q79" s="119"/>
      <c r="AI79" s="119"/>
    </row>
    <row r="80" spans="1:35" x14ac:dyDescent="0.2">
      <c r="Q80" s="119"/>
      <c r="AI80" s="119"/>
    </row>
    <row r="81" spans="17:35" x14ac:dyDescent="0.2">
      <c r="Q81" s="119"/>
      <c r="AI81" s="119"/>
    </row>
    <row r="82" spans="17:35" x14ac:dyDescent="0.2">
      <c r="Q82" s="119"/>
      <c r="AI82" s="119"/>
    </row>
    <row r="83" spans="17:35" x14ac:dyDescent="0.2">
      <c r="Q83" s="119"/>
      <c r="AI83" s="119"/>
    </row>
    <row r="84" spans="17:35" x14ac:dyDescent="0.2">
      <c r="Q84" s="119"/>
      <c r="AI84" s="119"/>
    </row>
    <row r="85" spans="17:35" x14ac:dyDescent="0.2">
      <c r="Q85" s="119"/>
      <c r="AI85" s="119"/>
    </row>
    <row r="86" spans="17:35" x14ac:dyDescent="0.2">
      <c r="Q86" s="119"/>
      <c r="AI86" s="119"/>
    </row>
    <row r="87" spans="17:35" x14ac:dyDescent="0.2">
      <c r="Q87" s="119"/>
      <c r="AI87" s="119"/>
    </row>
    <row r="88" spans="17:35" x14ac:dyDescent="0.2">
      <c r="Q88" s="119"/>
      <c r="AI88" s="119"/>
    </row>
    <row r="89" spans="17:35" x14ac:dyDescent="0.2">
      <c r="Q89" s="119"/>
      <c r="AI89" s="119"/>
    </row>
    <row r="90" spans="17:35" x14ac:dyDescent="0.2">
      <c r="Q90" s="119"/>
      <c r="AI90" s="119"/>
    </row>
    <row r="91" spans="17:35" x14ac:dyDescent="0.2">
      <c r="Q91" s="119"/>
      <c r="AI91" s="119"/>
    </row>
    <row r="92" spans="17:35" x14ac:dyDescent="0.2">
      <c r="Q92" s="119"/>
      <c r="AI92" s="119"/>
    </row>
    <row r="93" spans="17:35" x14ac:dyDescent="0.2">
      <c r="Q93" s="119"/>
      <c r="AI93" s="119"/>
    </row>
    <row r="94" spans="17:35" x14ac:dyDescent="0.2">
      <c r="Q94" s="119"/>
      <c r="AI94" s="119"/>
    </row>
    <row r="95" spans="17:35" x14ac:dyDescent="0.2">
      <c r="Q95" s="119"/>
      <c r="AI95" s="119"/>
    </row>
    <row r="96" spans="17:35" x14ac:dyDescent="0.2">
      <c r="Q96" s="119"/>
      <c r="AI96" s="119"/>
    </row>
    <row r="97" spans="17:35" x14ac:dyDescent="0.2">
      <c r="Q97" s="119"/>
      <c r="AI97" s="119"/>
    </row>
    <row r="98" spans="17:35" x14ac:dyDescent="0.2">
      <c r="Q98" s="119"/>
      <c r="AI98" s="119"/>
    </row>
    <row r="99" spans="17:35" x14ac:dyDescent="0.2">
      <c r="Q99" s="119"/>
      <c r="AI99" s="119"/>
    </row>
    <row r="100" spans="17:35" x14ac:dyDescent="0.2">
      <c r="Q100" s="119"/>
      <c r="AI100" s="119"/>
    </row>
    <row r="101" spans="17:35" x14ac:dyDescent="0.2">
      <c r="Q101" s="119"/>
      <c r="AI101" s="119"/>
    </row>
    <row r="102" spans="17:35" x14ac:dyDescent="0.2">
      <c r="Q102" s="119"/>
      <c r="AI102" s="119"/>
    </row>
    <row r="103" spans="17:35" x14ac:dyDescent="0.2">
      <c r="Q103" s="119"/>
      <c r="AI103" s="119"/>
    </row>
    <row r="104" spans="17:35" x14ac:dyDescent="0.2">
      <c r="Q104" s="119"/>
      <c r="AI104" s="119"/>
    </row>
    <row r="105" spans="17:35" x14ac:dyDescent="0.2">
      <c r="Q105" s="119"/>
      <c r="AI105" s="119"/>
    </row>
    <row r="106" spans="17:35" x14ac:dyDescent="0.2">
      <c r="Q106" s="119"/>
      <c r="AI106" s="119"/>
    </row>
    <row r="107" spans="17:35" x14ac:dyDescent="0.2">
      <c r="Q107" s="119"/>
      <c r="AI107" s="119"/>
    </row>
    <row r="108" spans="17:35" x14ac:dyDescent="0.2">
      <c r="Q108" s="119"/>
      <c r="AI108" s="119"/>
    </row>
    <row r="109" spans="17:35" x14ac:dyDescent="0.2">
      <c r="Q109" s="119"/>
      <c r="AI109" s="119"/>
    </row>
    <row r="110" spans="17:35" x14ac:dyDescent="0.2">
      <c r="Q110" s="119"/>
      <c r="AI110" s="119"/>
    </row>
    <row r="111" spans="17:35" x14ac:dyDescent="0.2">
      <c r="Q111" s="119"/>
      <c r="AI111" s="119"/>
    </row>
    <row r="112" spans="17:35" x14ac:dyDescent="0.2">
      <c r="Q112" s="119"/>
      <c r="AI112" s="119"/>
    </row>
    <row r="113" spans="17:35" x14ac:dyDescent="0.2">
      <c r="Q113" s="119"/>
      <c r="AI113" s="119"/>
    </row>
    <row r="114" spans="17:35" x14ac:dyDescent="0.2">
      <c r="Q114" s="119"/>
      <c r="AI114" s="119"/>
    </row>
    <row r="115" spans="17:35" x14ac:dyDescent="0.2">
      <c r="Q115" s="119"/>
      <c r="AI115" s="119"/>
    </row>
    <row r="116" spans="17:35" x14ac:dyDescent="0.2">
      <c r="Q116" s="119"/>
      <c r="AI116" s="119"/>
    </row>
    <row r="117" spans="17:35" x14ac:dyDescent="0.2">
      <c r="Q117" s="119"/>
      <c r="AI117" s="119"/>
    </row>
    <row r="118" spans="17:35" x14ac:dyDescent="0.2">
      <c r="Q118" s="119"/>
    </row>
    <row r="119" spans="17:35" x14ac:dyDescent="0.2">
      <c r="Q119" s="119"/>
    </row>
    <row r="120" spans="17:35" x14ac:dyDescent="0.2">
      <c r="Q120" s="119"/>
    </row>
    <row r="121" spans="17:35" x14ac:dyDescent="0.2">
      <c r="Q121" s="119"/>
    </row>
    <row r="122" spans="17:35" x14ac:dyDescent="0.2">
      <c r="Q122" s="119"/>
    </row>
    <row r="123" spans="17:35" x14ac:dyDescent="0.2">
      <c r="Q123" s="119"/>
    </row>
    <row r="124" spans="17:35" x14ac:dyDescent="0.2">
      <c r="Q124" s="119"/>
    </row>
    <row r="125" spans="17:35" x14ac:dyDescent="0.2">
      <c r="Q125" s="119"/>
    </row>
    <row r="126" spans="17:35" x14ac:dyDescent="0.2">
      <c r="Q126" s="119"/>
    </row>
    <row r="127" spans="17:35" x14ac:dyDescent="0.2">
      <c r="Q127" s="119"/>
    </row>
    <row r="128" spans="17:35" x14ac:dyDescent="0.2">
      <c r="Q128" s="119"/>
    </row>
    <row r="129" spans="17:17" x14ac:dyDescent="0.2">
      <c r="Q129" s="119"/>
    </row>
    <row r="130" spans="17:17" x14ac:dyDescent="0.2">
      <c r="Q130" s="119"/>
    </row>
    <row r="131" spans="17:17" x14ac:dyDescent="0.2">
      <c r="Q131" s="119"/>
    </row>
    <row r="132" spans="17:17" x14ac:dyDescent="0.2">
      <c r="Q132" s="119"/>
    </row>
    <row r="133" spans="17:17" x14ac:dyDescent="0.2">
      <c r="Q133" s="119"/>
    </row>
    <row r="134" spans="17:17" x14ac:dyDescent="0.2">
      <c r="Q134" s="119"/>
    </row>
    <row r="135" spans="17:17" x14ac:dyDescent="0.2">
      <c r="Q135" s="119"/>
    </row>
    <row r="136" spans="17:17" x14ac:dyDescent="0.2">
      <c r="Q136" s="119"/>
    </row>
    <row r="137" spans="17:17" x14ac:dyDescent="0.2">
      <c r="Q137" s="119"/>
    </row>
    <row r="138" spans="17:17" x14ac:dyDescent="0.2">
      <c r="Q138" s="119"/>
    </row>
  </sheetData>
  <sheetProtection algorithmName="SHA-512" hashValue="oi88QxdG/w+mhDISVrKVDuSv7nts3eQ9ROI0vCLNPMjOwqLFvo1U/QADfPJYrifFxJaX+RWHrrvJ8Pt1/sDgmg==" saltValue="H4Zn6Lorj00yOGp9qgWXTw==" spinCount="100000" sheet="1" objects="1" scenarios="1"/>
  <mergeCells count="111">
    <mergeCell ref="AE73:AG73"/>
    <mergeCell ref="N76:O76"/>
    <mergeCell ref="N74:O74"/>
    <mergeCell ref="B47:G47"/>
    <mergeCell ref="J47:K47"/>
    <mergeCell ref="B53:G53"/>
    <mergeCell ref="J53:K53"/>
    <mergeCell ref="B68:G68"/>
    <mergeCell ref="J68:K68"/>
    <mergeCell ref="B66:G66"/>
    <mergeCell ref="J66:K66"/>
    <mergeCell ref="B59:G59"/>
    <mergeCell ref="J59:K59"/>
    <mergeCell ref="B57:G57"/>
    <mergeCell ref="J57:K57"/>
    <mergeCell ref="B63:G63"/>
    <mergeCell ref="J63:K63"/>
    <mergeCell ref="B70:G70"/>
    <mergeCell ref="J70:K70"/>
    <mergeCell ref="M73:O73"/>
    <mergeCell ref="AF72:AG72"/>
    <mergeCell ref="AB60:AC60"/>
    <mergeCell ref="AF76:AG76"/>
    <mergeCell ref="T70:Y70"/>
    <mergeCell ref="J41:K41"/>
    <mergeCell ref="B33:G33"/>
    <mergeCell ref="B35:G35"/>
    <mergeCell ref="J35:K35"/>
    <mergeCell ref="B60:G60"/>
    <mergeCell ref="J60:K60"/>
    <mergeCell ref="B43:G43"/>
    <mergeCell ref="J43:K43"/>
    <mergeCell ref="B55:G55"/>
    <mergeCell ref="J55:K55"/>
    <mergeCell ref="B51:G51"/>
    <mergeCell ref="J51:K51"/>
    <mergeCell ref="B49:G49"/>
    <mergeCell ref="J49:K49"/>
    <mergeCell ref="B45:G45"/>
    <mergeCell ref="J45:K45"/>
    <mergeCell ref="A1:O1"/>
    <mergeCell ref="S1:AG1"/>
    <mergeCell ref="S2:AG2"/>
    <mergeCell ref="S3:AG3"/>
    <mergeCell ref="N72:O72"/>
    <mergeCell ref="J21:K21"/>
    <mergeCell ref="J23:K23"/>
    <mergeCell ref="J25:K25"/>
    <mergeCell ref="J27:K27"/>
    <mergeCell ref="J37:K37"/>
    <mergeCell ref="J39:K39"/>
    <mergeCell ref="J33:K33"/>
    <mergeCell ref="J29:K29"/>
    <mergeCell ref="A2:O2"/>
    <mergeCell ref="A3:O3"/>
    <mergeCell ref="J12:K12"/>
    <mergeCell ref="J15:K15"/>
    <mergeCell ref="J4:K4"/>
    <mergeCell ref="J10:K10"/>
    <mergeCell ref="J6:K6"/>
    <mergeCell ref="J17:K17"/>
    <mergeCell ref="B37:G37"/>
    <mergeCell ref="B39:G39"/>
    <mergeCell ref="B41:G41"/>
    <mergeCell ref="AB4:AC4"/>
    <mergeCell ref="AB6:AC6"/>
    <mergeCell ref="AB10:AC10"/>
    <mergeCell ref="AB12:AC12"/>
    <mergeCell ref="AB68:AC68"/>
    <mergeCell ref="AB55:AC55"/>
    <mergeCell ref="AB57:AC57"/>
    <mergeCell ref="AB59:AC59"/>
    <mergeCell ref="AB63:AC63"/>
    <mergeCell ref="AB45:AC45"/>
    <mergeCell ref="AB49:AC49"/>
    <mergeCell ref="AB51:AC51"/>
    <mergeCell ref="AB53:AC53"/>
    <mergeCell ref="AB35:AC35"/>
    <mergeCell ref="AB37:AC37"/>
    <mergeCell ref="AB39:AC39"/>
    <mergeCell ref="AB41:AC41"/>
    <mergeCell ref="AB43:AC43"/>
    <mergeCell ref="AB23:AC23"/>
    <mergeCell ref="AB25:AC25"/>
    <mergeCell ref="AB17:AC17"/>
    <mergeCell ref="AB15:AC15"/>
    <mergeCell ref="T41:Y41"/>
    <mergeCell ref="T43:Y43"/>
    <mergeCell ref="T45:Y45"/>
    <mergeCell ref="T47:Y47"/>
    <mergeCell ref="T49:Y49"/>
    <mergeCell ref="AB21:AC21"/>
    <mergeCell ref="T33:Y33"/>
    <mergeCell ref="T35:Y35"/>
    <mergeCell ref="T37:Y37"/>
    <mergeCell ref="T39:Y39"/>
    <mergeCell ref="AB33:AC33"/>
    <mergeCell ref="AB27:AC27"/>
    <mergeCell ref="AB29:AC29"/>
    <mergeCell ref="AB47:AC47"/>
    <mergeCell ref="AB70:AC70"/>
    <mergeCell ref="T60:Y60"/>
    <mergeCell ref="T63:Y63"/>
    <mergeCell ref="T66:Y66"/>
    <mergeCell ref="T68:Y68"/>
    <mergeCell ref="AB66:AC66"/>
    <mergeCell ref="T51:Y51"/>
    <mergeCell ref="T53:Y53"/>
    <mergeCell ref="T55:Y55"/>
    <mergeCell ref="T57:Y57"/>
    <mergeCell ref="T59:Y59"/>
  </mergeCells>
  <phoneticPr fontId="0" type="noConversion"/>
  <conditionalFormatting sqref="M15">
    <cfRule type="cellIs" dxfId="13" priority="6" stopIfTrue="1" operator="equal">
      <formula>16.5</formula>
    </cfRule>
  </conditionalFormatting>
  <conditionalFormatting sqref="M35 M41 M47 M53">
    <cfRule type="cellIs" dxfId="12" priority="7" stopIfTrue="1" operator="equal">
      <formula>16.5</formula>
    </cfRule>
  </conditionalFormatting>
  <conditionalFormatting sqref="AE73 AH73">
    <cfRule type="cellIs" dxfId="11" priority="3" stopIfTrue="1" operator="equal">
      <formula>"Do Not Use"</formula>
    </cfRule>
    <cfRule type="cellIs" dxfId="10" priority="4" stopIfTrue="1" operator="equal">
      <formula>"You May Use this Calculation"</formula>
    </cfRule>
  </conditionalFormatting>
  <conditionalFormatting sqref="AE15 AE35 AE41 AE47 AE53">
    <cfRule type="cellIs" dxfId="9" priority="5" stopIfTrue="1" operator="equal">
      <formula>16.5</formula>
    </cfRule>
  </conditionalFormatting>
  <conditionalFormatting sqref="M73">
    <cfRule type="cellIs" dxfId="8" priority="1" stopIfTrue="1" operator="equal">
      <formula>"Do Not Use"</formula>
    </cfRule>
    <cfRule type="cellIs" dxfId="7" priority="2" stopIfTrue="1" operator="equal">
      <formula>"You May Use this Calculation"</formula>
    </cfRule>
  </conditionalFormatting>
  <pageMargins left="0.75" right="0.75" top="1" bottom="1" header="0.5" footer="0.5"/>
  <pageSetup paperSize="5" scale="76" orientation="portrait" r:id="rId1"/>
  <headerFooter alignWithMargins="0">
    <oddFooter>&amp;L&amp;F</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D47B-C48D-497D-9585-52BE528475E1}">
  <dimension ref="A1:AI78"/>
  <sheetViews>
    <sheetView showGridLines="0" zoomScale="90" zoomScaleNormal="90" workbookViewId="0">
      <selection sqref="A1:O1"/>
    </sheetView>
  </sheetViews>
  <sheetFormatPr defaultRowHeight="12.75" x14ac:dyDescent="0.2"/>
  <cols>
    <col min="1" max="1" width="4.140625" style="3" customWidth="1"/>
    <col min="2" max="2" width="2.5703125" style="71" customWidth="1"/>
    <col min="3" max="4" width="9.140625" style="71"/>
    <col min="5" max="5" width="5.85546875" style="71" customWidth="1"/>
    <col min="6" max="6" width="8.85546875" style="71" customWidth="1"/>
    <col min="7" max="7" width="3.140625" style="71" customWidth="1"/>
    <col min="8" max="8" width="10.140625" style="71" customWidth="1"/>
    <col min="9" max="9" width="3.85546875" style="71" customWidth="1"/>
    <col min="10" max="10" width="9.140625" style="71"/>
    <col min="11" max="11" width="6.28515625" style="71" customWidth="1"/>
    <col min="12" max="12" width="5.5703125" style="71" customWidth="1"/>
    <col min="13" max="13" width="10.7109375" style="71" customWidth="1"/>
    <col min="14" max="14" width="8.140625" style="71" customWidth="1"/>
    <col min="15" max="15" width="12.28515625" style="71" customWidth="1"/>
    <col min="16" max="16" width="10.28515625" style="71" customWidth="1"/>
    <col min="17" max="17" width="8.85546875" style="36" customWidth="1"/>
    <col min="18" max="18" width="4.7109375" style="71" customWidth="1"/>
    <col min="19" max="19" width="4.140625" style="71" customWidth="1"/>
    <col min="20" max="20" width="2.5703125" style="71" customWidth="1"/>
    <col min="21" max="22" width="9.140625" style="71"/>
    <col min="23" max="23" width="5.85546875" style="71" customWidth="1"/>
    <col min="24" max="24" width="9.140625" style="71"/>
    <col min="25" max="25" width="3.140625" style="71" customWidth="1"/>
    <col min="26" max="26" width="10.140625" style="71" customWidth="1"/>
    <col min="27" max="27" width="3.85546875" style="71" customWidth="1"/>
    <col min="28" max="28" width="9.140625" style="71" customWidth="1"/>
    <col min="29" max="29" width="6.28515625" style="71" customWidth="1"/>
    <col min="30" max="30" width="5.5703125" style="71" customWidth="1"/>
    <col min="31" max="31" width="10.85546875" style="71" customWidth="1"/>
    <col min="32" max="32" width="8" style="71" customWidth="1"/>
    <col min="33" max="33" width="12.140625" style="71" customWidth="1"/>
    <col min="34" max="34" width="10.28515625" style="71" customWidth="1"/>
    <col min="35" max="35" width="8.85546875" style="81" customWidth="1"/>
    <col min="36" max="16384" width="9.140625" style="71"/>
  </cols>
  <sheetData>
    <row r="1" spans="1:35" ht="14.25" customHeight="1" x14ac:dyDescent="0.25">
      <c r="A1" s="161" t="s">
        <v>72</v>
      </c>
      <c r="B1" s="161"/>
      <c r="C1" s="161"/>
      <c r="D1" s="161"/>
      <c r="E1" s="161"/>
      <c r="F1" s="161"/>
      <c r="G1" s="161"/>
      <c r="H1" s="161"/>
      <c r="I1" s="161"/>
      <c r="J1" s="161"/>
      <c r="K1" s="161"/>
      <c r="L1" s="161"/>
      <c r="M1" s="161"/>
      <c r="N1" s="161"/>
      <c r="O1" s="161"/>
      <c r="P1" s="2"/>
      <c r="Q1" s="77"/>
      <c r="S1" s="161" t="s">
        <v>72</v>
      </c>
      <c r="T1" s="161"/>
      <c r="U1" s="161"/>
      <c r="V1" s="161"/>
      <c r="W1" s="161"/>
      <c r="X1" s="161"/>
      <c r="Y1" s="161"/>
      <c r="Z1" s="161"/>
      <c r="AA1" s="161"/>
      <c r="AB1" s="161"/>
      <c r="AC1" s="161"/>
      <c r="AD1" s="161"/>
      <c r="AE1" s="161"/>
      <c r="AF1" s="161"/>
      <c r="AG1" s="161"/>
      <c r="AI1" s="119"/>
    </row>
    <row r="2" spans="1:35" ht="15.75" x14ac:dyDescent="0.2">
      <c r="A2" s="161" t="s">
        <v>139</v>
      </c>
      <c r="B2" s="161"/>
      <c r="C2" s="161"/>
      <c r="D2" s="161"/>
      <c r="E2" s="161"/>
      <c r="F2" s="161"/>
      <c r="G2" s="161"/>
      <c r="H2" s="161"/>
      <c r="I2" s="161"/>
      <c r="J2" s="161"/>
      <c r="K2" s="161"/>
      <c r="L2" s="161"/>
      <c r="M2" s="161"/>
      <c r="N2" s="161"/>
      <c r="O2" s="161"/>
      <c r="Q2" s="115"/>
      <c r="S2" s="161" t="s">
        <v>139</v>
      </c>
      <c r="T2" s="161"/>
      <c r="U2" s="161"/>
      <c r="V2" s="161"/>
      <c r="W2" s="161"/>
      <c r="X2" s="161"/>
      <c r="Y2" s="161"/>
      <c r="Z2" s="161"/>
      <c r="AA2" s="161"/>
      <c r="AB2" s="161"/>
      <c r="AC2" s="161"/>
      <c r="AD2" s="161"/>
      <c r="AE2" s="161"/>
      <c r="AF2" s="161"/>
      <c r="AG2" s="161"/>
      <c r="AI2" s="119"/>
    </row>
    <row r="3" spans="1:35" ht="15.75" x14ac:dyDescent="0.2">
      <c r="A3" s="161" t="s">
        <v>122</v>
      </c>
      <c r="B3" s="161"/>
      <c r="C3" s="161"/>
      <c r="D3" s="161"/>
      <c r="E3" s="161"/>
      <c r="F3" s="161"/>
      <c r="G3" s="161"/>
      <c r="H3" s="161"/>
      <c r="I3" s="161"/>
      <c r="J3" s="161"/>
      <c r="K3" s="161"/>
      <c r="L3" s="161"/>
      <c r="M3" s="161"/>
      <c r="N3" s="161"/>
      <c r="O3" s="161"/>
      <c r="Q3" s="115"/>
      <c r="S3" s="161" t="s">
        <v>123</v>
      </c>
      <c r="T3" s="161"/>
      <c r="U3" s="161"/>
      <c r="V3" s="161"/>
      <c r="W3" s="161"/>
      <c r="X3" s="161"/>
      <c r="Y3" s="161"/>
      <c r="Z3" s="161"/>
      <c r="AA3" s="161"/>
      <c r="AB3" s="161"/>
      <c r="AC3" s="161"/>
      <c r="AD3" s="161"/>
      <c r="AE3" s="161"/>
      <c r="AF3" s="161"/>
      <c r="AG3" s="161"/>
      <c r="AI3" s="119"/>
    </row>
    <row r="4" spans="1:35" ht="31.5" customHeight="1" x14ac:dyDescent="0.2">
      <c r="A4" s="13"/>
      <c r="F4" s="31" t="s">
        <v>73</v>
      </c>
      <c r="H4" s="99" t="s">
        <v>77</v>
      </c>
      <c r="I4" s="101"/>
      <c r="J4" s="160" t="s">
        <v>78</v>
      </c>
      <c r="K4" s="163"/>
      <c r="M4" s="18" t="s">
        <v>74</v>
      </c>
      <c r="O4" s="30" t="s">
        <v>75</v>
      </c>
      <c r="Q4" s="115"/>
      <c r="S4" s="13"/>
      <c r="X4" s="31" t="s">
        <v>73</v>
      </c>
      <c r="Z4" s="99" t="s">
        <v>77</v>
      </c>
      <c r="AA4" s="101"/>
      <c r="AB4" s="160" t="s">
        <v>78</v>
      </c>
      <c r="AC4" s="160"/>
      <c r="AE4" s="18" t="s">
        <v>74</v>
      </c>
      <c r="AG4" s="30" t="s">
        <v>75</v>
      </c>
      <c r="AI4" s="119"/>
    </row>
    <row r="5" spans="1:35" ht="6.75" customHeight="1" x14ac:dyDescent="0.2">
      <c r="Q5" s="115"/>
      <c r="S5" s="3"/>
      <c r="AI5" s="119"/>
    </row>
    <row r="6" spans="1:35" ht="15.75" x14ac:dyDescent="0.25">
      <c r="B6" s="11" t="s">
        <v>134</v>
      </c>
      <c r="F6" s="98" t="str">
        <f>IF('Enrollment Input'!$G$16=0,"0",'Enrollment Input'!$G$16)</f>
        <v>0</v>
      </c>
      <c r="G6" s="100"/>
      <c r="H6" s="25"/>
      <c r="J6" s="155" t="str">
        <f>IF('Enrollment Input'!$G$16=0,"0",'Enrollment Input'!$G$16)</f>
        <v>0</v>
      </c>
      <c r="K6" s="155"/>
      <c r="L6" s="16" t="s">
        <v>43</v>
      </c>
      <c r="M6" s="110">
        <f>IF('Enrollment Input'!G16=0,0,LOOKUP(J6,criteria!$A$3:$A$10,criteria!$B$3:$B$10))</f>
        <v>0</v>
      </c>
      <c r="N6" s="14" t="s">
        <v>14</v>
      </c>
      <c r="O6" s="98">
        <f>IF(Q6=0,0,IF(Q6&lt;LOOKUP(J6,criteria!$A$3:$A$10,criteria!$C$3:$C$10),LOOKUP(J6,criteria!$A$3:$A$10,criteria!$C$3:$C$10),IF(LOOKUP(J6,criteria!$A$3:$A$10,criteria!$C$3:$C$10)=0,0,Q6)))</f>
        <v>0</v>
      </c>
      <c r="P6" s="84" t="str">
        <f>IF('Enrollment Input'!G16=0," ",IF(O6=0,"ADD to 1-6",IF(O6=Q6," ","Minimum")))</f>
        <v xml:space="preserve"> </v>
      </c>
      <c r="Q6" s="116">
        <f>ROUND(IF('Enrollment Input'!G16=0,0,IF(M6=0,0,(J6/M6))),2)</f>
        <v>0</v>
      </c>
      <c r="S6" s="3"/>
      <c r="T6" s="11" t="s">
        <v>134</v>
      </c>
      <c r="X6" s="98" t="str">
        <f>IF('Enrollment Input'!$G$16=0,"0",'Enrollment Input'!$G$16)</f>
        <v>0</v>
      </c>
      <c r="Z6" s="25"/>
      <c r="AA6" s="25"/>
      <c r="AB6" s="155" t="str">
        <f>IF('Enrollment Input'!$G$16=0,"0",'Enrollment Input'!$G$16)</f>
        <v>0</v>
      </c>
      <c r="AC6" s="155"/>
      <c r="AD6" s="86" t="s">
        <v>43</v>
      </c>
      <c r="AE6" s="110">
        <f>IF('Enrollment Input'!G16=0,0,LOOKUP(AB6,criteria!$A$3:$A$10,criteria!$B$3:$B$10))</f>
        <v>0</v>
      </c>
      <c r="AF6" s="79" t="s">
        <v>14</v>
      </c>
      <c r="AG6" s="98">
        <f>IF(AI6=0,0,IF(AI6&lt;LOOKUP(AB6,criteria!$A$3:$A$10,criteria!$C$3:$C$10),LOOKUP(AB6,criteria!$A$3:$A$10,criteria!$C$3:$C$10),IF(LOOKUP(AB6,criteria!$A$3:$A$10,criteria!$C$3:$C$10)=0,0,AI6)))</f>
        <v>0</v>
      </c>
      <c r="AH6" s="84" t="str">
        <f>IF('Enrollment Input'!G16=0," ",IF(AG6=0,"ADD to 1-6",IF(AG6=AI6," ","Minimum")))</f>
        <v xml:space="preserve"> </v>
      </c>
      <c r="AI6" s="120">
        <f>ROUND(IF('Enrollment Input'!G16=0,0,IF(AE6=0,0,(AB6/AE6))),2)</f>
        <v>0</v>
      </c>
    </row>
    <row r="7" spans="1:35" ht="6.75" customHeight="1" x14ac:dyDescent="0.2">
      <c r="F7" s="25"/>
      <c r="G7" s="25"/>
      <c r="H7" s="25"/>
      <c r="J7" s="25"/>
      <c r="K7" s="25"/>
      <c r="M7" s="111"/>
      <c r="O7" s="25"/>
      <c r="P7" s="25"/>
      <c r="Q7" s="116"/>
      <c r="S7" s="3"/>
      <c r="X7" s="25"/>
      <c r="Z7" s="25"/>
      <c r="AA7" s="25"/>
      <c r="AB7" s="25"/>
      <c r="AC7" s="25"/>
      <c r="AD7" s="25"/>
      <c r="AE7" s="111"/>
      <c r="AF7" s="25"/>
      <c r="AG7" s="25"/>
      <c r="AH7" s="25"/>
      <c r="AI7" s="120"/>
    </row>
    <row r="8" spans="1:35" x14ac:dyDescent="0.2">
      <c r="B8" s="11" t="s">
        <v>51</v>
      </c>
      <c r="F8" s="25"/>
      <c r="G8" s="25"/>
      <c r="H8" s="25"/>
      <c r="J8" s="25"/>
      <c r="K8" s="25"/>
      <c r="M8" s="111"/>
      <c r="O8" s="25"/>
      <c r="P8" s="25"/>
      <c r="Q8" s="116"/>
      <c r="S8" s="3"/>
      <c r="T8" s="11" t="s">
        <v>51</v>
      </c>
      <c r="X8" s="25"/>
      <c r="Z8" s="25"/>
      <c r="AA8" s="25"/>
      <c r="AB8" s="25"/>
      <c r="AC8" s="25"/>
      <c r="AD8" s="25"/>
      <c r="AE8" s="111"/>
      <c r="AF8" s="25"/>
      <c r="AG8" s="25"/>
      <c r="AH8" s="25"/>
      <c r="AI8" s="120"/>
    </row>
    <row r="9" spans="1:35" x14ac:dyDescent="0.2">
      <c r="B9" s="10" t="s">
        <v>76</v>
      </c>
      <c r="F9" s="25"/>
      <c r="G9" s="25"/>
      <c r="H9" s="25"/>
      <c r="J9" s="25"/>
      <c r="K9" s="25"/>
      <c r="M9" s="111"/>
      <c r="O9" s="25"/>
      <c r="P9" s="25"/>
      <c r="Q9" s="116"/>
      <c r="S9" s="3"/>
      <c r="T9" s="10" t="s">
        <v>76</v>
      </c>
      <c r="X9" s="25"/>
      <c r="Z9" s="25"/>
      <c r="AA9" s="25"/>
      <c r="AB9" s="25"/>
      <c r="AC9" s="25"/>
      <c r="AD9" s="25"/>
      <c r="AE9" s="111"/>
      <c r="AF9" s="25"/>
      <c r="AG9" s="25"/>
      <c r="AH9" s="25"/>
      <c r="AI9" s="120"/>
    </row>
    <row r="10" spans="1:35" ht="16.5" customHeight="1" x14ac:dyDescent="0.25">
      <c r="C10" s="12" t="s">
        <v>38</v>
      </c>
      <c r="F10" s="98" t="str">
        <f>IF(J10=0," ",IF($J$15&gt;300," ",'Enrollment Input'!G19))</f>
        <v xml:space="preserve"> </v>
      </c>
      <c r="G10" s="82" t="s">
        <v>82</v>
      </c>
      <c r="H10" s="98" t="str">
        <f>IF(J10=0," ",'Exceptional Child Calc'!$H$25)</f>
        <v xml:space="preserve"> </v>
      </c>
      <c r="I10" s="14" t="s">
        <v>14</v>
      </c>
      <c r="J10" s="155">
        <f>IF('Enrollment Input'!G19=0,0,IF(SUM('Enrollment Input'!G19-'Exceptional Child Calc'!H25)+SUM('Enrollment Input'!G20-'Exceptional Child Calc'!H26)&gt;299.99,SUM('Enrollment Input'!G19-'Exceptional Child Calc'!H25),0))</f>
        <v>0</v>
      </c>
      <c r="K10" s="155"/>
      <c r="L10" s="16" t="s">
        <v>43</v>
      </c>
      <c r="M10" s="110">
        <f>IF(SUM('Enrollment Input'!$G$19-'Exceptional Child Calc'!$H$25)+SUM('Enrollment Input'!$G$20-'Exceptional Child Calc'!$H$26)&gt;299.99,20,0)</f>
        <v>0</v>
      </c>
      <c r="N10" s="14" t="s">
        <v>14</v>
      </c>
      <c r="O10" s="98">
        <f>ROUND(IF(SUM('Enrollment Input'!$G$19-'Exceptional Child Calc'!$H$25)+SUM('Enrollment Input'!$G$20-'Exceptional Child Calc'!$H$26)&lt;300,0,IF(Q10+Q12&lt;15,0,(J10/M10))),2)</f>
        <v>0</v>
      </c>
      <c r="P10" s="25" t="str">
        <f>IF(O10=0," ",IF(O10=Q10," ","Minimum"))</f>
        <v xml:space="preserve"> </v>
      </c>
      <c r="Q10" s="116">
        <f>ROUND(IF(SUM('Enrollment Input'!$G$19-'Exceptional Child Calc'!$H$25)+SUM('Enrollment Input'!$G$20-'Exceptional Child Calc'!$H$26)&lt;300,0,(J10/M10)),2)</f>
        <v>0</v>
      </c>
      <c r="S10" s="3"/>
      <c r="U10" s="12" t="s">
        <v>38</v>
      </c>
      <c r="X10" s="109" t="str">
        <f>IF(AB10=0," ",IF($AB$15&gt;300," ",'Enrollment Input'!G19))</f>
        <v xml:space="preserve"> </v>
      </c>
      <c r="Y10" s="23" t="s">
        <v>82</v>
      </c>
      <c r="Z10" s="98" t="str">
        <f>IF(AB10=0," ",'Exceptional Child Calc'!$H$25)</f>
        <v xml:space="preserve"> </v>
      </c>
      <c r="AA10" s="79" t="s">
        <v>14</v>
      </c>
      <c r="AB10" s="155">
        <f>IF('Enrollment Input'!G19=0,0,IF(SUM('Enrollment Input'!G19-'Exceptional Child Calc'!H25)+SUM('Enrollment Input'!G20-'Exceptional Child Calc'!H26)&gt;299.99,SUM('Enrollment Input'!G19-'Exceptional Child Calc'!H25),0))</f>
        <v>0</v>
      </c>
      <c r="AC10" s="155"/>
      <c r="AD10" s="86" t="s">
        <v>43</v>
      </c>
      <c r="AE10" s="110">
        <f>IF(SUM('Enrollment Input'!$G$19-'Exceptional Child Calc'!$H$25)+SUM('Enrollment Input'!$G$20-'Exceptional Child Calc'!$H$26)&gt;299.99,20,0)</f>
        <v>0</v>
      </c>
      <c r="AF10" s="79" t="s">
        <v>14</v>
      </c>
      <c r="AG10" s="98">
        <f>ROUND(IF(SUM('Enrollment Input'!$G$19-'Exceptional Child Calc'!$H$25)+SUM('Enrollment Input'!$G$20-'Exceptional Child Calc'!$H$26)&lt;299.99,0,IF(AI10+AI12&lt;15,0,(AB10/AE10))),2)</f>
        <v>0</v>
      </c>
      <c r="AH10" s="25" t="str">
        <f>IF(AG10=0," ",IF(AG10=AI10," ","Minimum"))</f>
        <v xml:space="preserve"> </v>
      </c>
      <c r="AI10" s="120">
        <f>ROUND(IF(SUM('Enrollment Input'!$G$19-'Exceptional Child Calc'!$H$25)+SUM('Enrollment Input'!$G$20-'Exceptional Child Calc'!$H$26)&lt;299.99,0,(AB10/AE10)),2)</f>
        <v>0</v>
      </c>
    </row>
    <row r="11" spans="1:35" ht="9" customHeight="1" x14ac:dyDescent="0.2">
      <c r="B11" s="12"/>
      <c r="F11" s="25"/>
      <c r="G11" s="25"/>
      <c r="H11" s="25"/>
      <c r="J11" s="25"/>
      <c r="K11" s="25"/>
      <c r="M11" s="111"/>
      <c r="O11" s="25"/>
      <c r="P11" s="25"/>
      <c r="Q11" s="116"/>
      <c r="S11" s="3"/>
      <c r="T11" s="12"/>
      <c r="X11" s="25"/>
      <c r="Z11" s="25"/>
      <c r="AA11" s="25"/>
      <c r="AB11" s="25"/>
      <c r="AC11" s="25"/>
      <c r="AD11" s="25"/>
      <c r="AE11" s="111"/>
      <c r="AF11" s="25"/>
      <c r="AG11" s="25"/>
      <c r="AH11" s="25"/>
      <c r="AI11" s="120"/>
    </row>
    <row r="12" spans="1:35" ht="15.75" x14ac:dyDescent="0.25">
      <c r="C12" s="12" t="s">
        <v>39</v>
      </c>
      <c r="F12" s="109" t="str">
        <f>IF(J12=0," ",IF($J$15&gt;300," ",'Enrollment Input'!G20))</f>
        <v xml:space="preserve"> </v>
      </c>
      <c r="G12" s="82" t="s">
        <v>82</v>
      </c>
      <c r="H12" s="98" t="str">
        <f>IF(J12=0," ",'Exceptional Child Calc'!H26)</f>
        <v xml:space="preserve"> </v>
      </c>
      <c r="I12" s="14" t="s">
        <v>14</v>
      </c>
      <c r="J12" s="155">
        <f>IF('Enrollment Input'!G20=0,0,IF(SUM('Enrollment Input'!G19-'Exceptional Child Calc'!H25)+SUM('Enrollment Input'!G20-'Exceptional Child Calc'!H26)&gt;299.99,SUM('Enrollment Input'!G20-'Exceptional Child Calc'!H26),0))</f>
        <v>0</v>
      </c>
      <c r="K12" s="155"/>
      <c r="L12" s="16" t="s">
        <v>43</v>
      </c>
      <c r="M12" s="110">
        <f>IF(SUM('Enrollment Input'!$G$19-'Exceptional Child Calc'!$H$25)+SUM('Enrollment Input'!$G$20-'Exceptional Child Calc'!$H$26)&gt;299.99,23,0)</f>
        <v>0</v>
      </c>
      <c r="N12" s="14" t="s">
        <v>14</v>
      </c>
      <c r="O12" s="98">
        <f>ROUND(IF(SUM('Enrollment Input'!$G$19-'Exceptional Child Calc'!$H$25)+SUM('Enrollment Input'!$G$20-'Exceptional Child Calc'!$H$26)&lt;300,0,IF(Q10+Q12&lt;15,0,($J$12/$M$12))),2)</f>
        <v>0</v>
      </c>
      <c r="P12" s="25" t="str">
        <f>IF(O12=0," ",IF(O12=Q12," ","Minimum"))</f>
        <v xml:space="preserve"> </v>
      </c>
      <c r="Q12" s="116">
        <f>ROUND(IF(SUM('Enrollment Input'!$G$19-'Exceptional Child Calc'!$H$25)+SUM('Enrollment Input'!$G$20-'Exceptional Child Calc'!$H$26)&lt;300,0,($J$12/$M$12)),2)</f>
        <v>0</v>
      </c>
      <c r="S12" s="3"/>
      <c r="U12" s="12" t="s">
        <v>39</v>
      </c>
      <c r="X12" s="98" t="str">
        <f>IF(AB12=0," ",IF($AB$15&gt;300," ",'Enrollment Input'!G20))</f>
        <v xml:space="preserve"> </v>
      </c>
      <c r="Y12" s="23" t="s">
        <v>82</v>
      </c>
      <c r="Z12" s="98" t="str">
        <f>IF(AB12=0," ",'Exceptional Child Calc'!H26)</f>
        <v xml:space="preserve"> </v>
      </c>
      <c r="AA12" s="79" t="s">
        <v>14</v>
      </c>
      <c r="AB12" s="155">
        <f>IF('Enrollment Input'!G20=0,0,IF(SUM('Enrollment Input'!G19-'Exceptional Child Calc'!H25)+SUM('Enrollment Input'!G20-'Exceptional Child Calc'!H26)&gt;299.99,SUM('Enrollment Input'!G20-'Exceptional Child Calc'!H26),0))</f>
        <v>0</v>
      </c>
      <c r="AC12" s="155"/>
      <c r="AD12" s="86" t="s">
        <v>43</v>
      </c>
      <c r="AE12" s="110">
        <f>IF(SUM('Enrollment Input'!$G$19-'Exceptional Child Calc'!$H$25)+SUM('Enrollment Input'!$G$20-'Exceptional Child Calc'!$H$26)&gt;299.99,23,0)</f>
        <v>0</v>
      </c>
      <c r="AF12" s="79" t="s">
        <v>14</v>
      </c>
      <c r="AG12" s="98">
        <f>ROUND(IF(SUM('Enrollment Input'!$G$19-'Exceptional Child Calc'!$H$25)+SUM('Enrollment Input'!$G$20-'Exceptional Child Calc'!$H$26)&lt;299.99,0,IF(AI10+AI12&lt;15,0,(AB12/AE12))),2)</f>
        <v>0</v>
      </c>
      <c r="AH12" s="25" t="str">
        <f>IF(AG12=0," ",IF(AG12=AI12," ","Minimum"))</f>
        <v xml:space="preserve"> </v>
      </c>
      <c r="AI12" s="120">
        <f>ROUND(IF(SUM('Enrollment Input'!$G$19-'Exceptional Child Calc'!$H$25)+SUM('Enrollment Input'!$G$20-'Exceptional Child Calc'!$H$26)&lt;299.99,0,(AB12/AE12)),2)</f>
        <v>0</v>
      </c>
    </row>
    <row r="13" spans="1:35" ht="17.25" customHeight="1" x14ac:dyDescent="0.2">
      <c r="B13" s="11" t="s">
        <v>51</v>
      </c>
      <c r="F13" s="100"/>
      <c r="G13" s="82"/>
      <c r="H13" s="100"/>
      <c r="I13" s="14"/>
      <c r="J13" s="100"/>
      <c r="K13" s="100"/>
      <c r="M13" s="112"/>
      <c r="N13" s="14"/>
      <c r="O13" s="79" t="str">
        <f>IF(P13="Minimum",15," ")</f>
        <v xml:space="preserve"> </v>
      </c>
      <c r="P13" s="25" t="str">
        <f>IF(Q10+Q12=0," ",IF(Q10+Q12&lt;15,"Minimum"," "))</f>
        <v xml:space="preserve"> </v>
      </c>
      <c r="Q13" s="116"/>
      <c r="S13" s="3"/>
      <c r="T13" s="11" t="s">
        <v>51</v>
      </c>
      <c r="X13" s="25"/>
      <c r="Z13" s="25"/>
      <c r="AA13" s="25"/>
      <c r="AB13" s="25"/>
      <c r="AC13" s="25"/>
      <c r="AD13" s="25"/>
      <c r="AE13" s="111"/>
      <c r="AF13" s="25"/>
      <c r="AG13" s="79" t="str">
        <f>IF(AH13="Minimum",15," ")</f>
        <v xml:space="preserve"> </v>
      </c>
      <c r="AH13" s="25" t="str">
        <f>IF(AI10+AI12=0," ",IF(AI10+AI12&lt;15,"Minimum"," "))</f>
        <v xml:space="preserve"> </v>
      </c>
      <c r="AI13" s="120"/>
    </row>
    <row r="14" spans="1:35" x14ac:dyDescent="0.2">
      <c r="B14" s="10" t="s">
        <v>92</v>
      </c>
      <c r="F14" s="25"/>
      <c r="G14" s="25"/>
      <c r="H14" s="25"/>
      <c r="M14" s="111"/>
      <c r="Q14" s="116"/>
      <c r="S14" s="3"/>
      <c r="T14" s="10" t="s">
        <v>92</v>
      </c>
      <c r="X14" s="25"/>
      <c r="Z14" s="25"/>
      <c r="AA14" s="25"/>
      <c r="AB14" s="25"/>
      <c r="AC14" s="25"/>
      <c r="AD14" s="25"/>
      <c r="AE14" s="111"/>
      <c r="AF14" s="25"/>
      <c r="AG14" s="25"/>
      <c r="AH14" s="25"/>
      <c r="AI14" s="120"/>
    </row>
    <row r="15" spans="1:35" ht="15.75" x14ac:dyDescent="0.25">
      <c r="C15" s="12" t="s">
        <v>40</v>
      </c>
      <c r="F15" s="98" t="str">
        <f>IF(J15=0," ",IF(J15&lt;300,SUM('Enrollment Input'!G19+'Enrollment Input'!G20)," "))</f>
        <v xml:space="preserve"> </v>
      </c>
      <c r="G15" s="82" t="s">
        <v>82</v>
      </c>
      <c r="H15" s="98" t="str">
        <f>IF(J15=0," ",'Exceptional Child Calc'!H22)</f>
        <v xml:space="preserve"> </v>
      </c>
      <c r="I15" s="14" t="s">
        <v>14</v>
      </c>
      <c r="J15" s="155">
        <f>IF('Enrollment Input'!G19+'Enrollment Input'!G20=0,0,IF(SUM('Enrollment Input'!G19-'Exceptional Child Calc'!H25)+SUM('Enrollment Input'!G20-'Exceptional Child Calc'!H26)&lt;300,IF(P6="ADD to 1-6",SUM('Enrollment Input'!G19-'Exceptional Child Calc'!H25)+SUM('Enrollment Input'!G20-'Exceptional Child Calc'!H26)+'Enrollment Input'!G16,SUM('Enrollment Input'!G19-'Exceptional Child Calc'!H25)+SUM('Enrollment Input'!G20-'Exceptional Child Calc'!H26)),0))</f>
        <v>0</v>
      </c>
      <c r="K15" s="155"/>
      <c r="L15" s="16" t="s">
        <v>43</v>
      </c>
      <c r="M15" s="110">
        <f>IF(J15=0,0,LOOKUP(J15,criteria!$M$3:$M$11,criteria!$N$3:$N$11))</f>
        <v>0</v>
      </c>
      <c r="N15" s="14" t="s">
        <v>14</v>
      </c>
      <c r="O15" s="98">
        <f>IF(Q15=0,0,IF(Q15&lt;LOOKUP(J15,criteria!$M$3:$M$10,criteria!$O$3:$O$10),LOOKUP(J15,criteria!$M$3:$M$10,criteria!$O$3:$O$10),Q15))</f>
        <v>0</v>
      </c>
      <c r="P15" s="25" t="str">
        <f>IF(O15=0," ",IF(O15=Q15," ","Minimum"))</f>
        <v xml:space="preserve"> </v>
      </c>
      <c r="Q15" s="116">
        <f>ROUND(IF('Enrollment Input'!G19+'Enrollment Input'!G20=0,0,IF(SUM('Enrollment Input'!$G$19-'Exceptional Child Calc'!$H$25)+SUM('Enrollment Input'!$G$20-'Exceptional Child Calc'!$H$26)&gt;299.99,0,(J15/M15))),2)</f>
        <v>0</v>
      </c>
      <c r="S15" s="3"/>
      <c r="U15" s="12" t="s">
        <v>40</v>
      </c>
      <c r="X15" s="98" t="str">
        <f>IF(AB15=0," ",IF(AB15&lt;300,SUM('Enrollment Input'!G19+'Enrollment Input'!G20)," "))</f>
        <v xml:space="preserve"> </v>
      </c>
      <c r="Y15" s="23" t="s">
        <v>82</v>
      </c>
      <c r="Z15" s="98" t="str">
        <f>IF(AB15=0," ",'Exceptional Child Calc'!H22)</f>
        <v xml:space="preserve"> </v>
      </c>
      <c r="AA15" s="79" t="s">
        <v>14</v>
      </c>
      <c r="AB15" s="155">
        <f>IF('Enrollment Input'!G19+'Enrollment Input'!G20=0,0,IF(SUM('Enrollment Input'!G19-'Exceptional Child Calc'!H25)+SUM('Enrollment Input'!G20-'Exceptional Child Calc'!H26)&lt;300,IF(AH6="ADD to 1-6",SUM('Enrollment Input'!G19-'Exceptional Child Calc'!H25)+SUM('Enrollment Input'!G20-'Exceptional Child Calc'!H26)+'Enrollment Input'!G16,SUM('Enrollment Input'!G19-'Exceptional Child Calc'!H25)+SUM('Enrollment Input'!G20-'Exceptional Child Calc'!H26)),0))</f>
        <v>0</v>
      </c>
      <c r="AC15" s="155"/>
      <c r="AD15" s="86" t="s">
        <v>43</v>
      </c>
      <c r="AE15" s="110">
        <f>IF(AB15=0,0,LOOKUP(AB15,criteria!$M$3:$M$11,criteria!$N$3:$N$11))</f>
        <v>0</v>
      </c>
      <c r="AF15" s="79" t="s">
        <v>14</v>
      </c>
      <c r="AG15" s="98">
        <f>IF(AI15=0,0,IF(AI15&lt;LOOKUP(AB15,criteria!$M$3:$M$10,criteria!$O$3:$O$10),LOOKUP(AB15,criteria!$M$3:$M$10,criteria!$O$3:$O$10),AI15))</f>
        <v>0</v>
      </c>
      <c r="AH15" s="25" t="str">
        <f>IF(AG15=0," ",IF(AG15=AI15," ","Minimum"))</f>
        <v xml:space="preserve"> </v>
      </c>
      <c r="AI15" s="120">
        <f>ROUND(IF('Enrollment Input'!G19+'Enrollment Input'!G20=0,0,IF(SUM('Enrollment Input'!$G$19-'Exceptional Child Calc'!$H$25)+SUM('Enrollment Input'!$G$20-'Exceptional Child Calc'!$H$26)&gt;299.99,0,(AB15/AE15))),2)</f>
        <v>0</v>
      </c>
    </row>
    <row r="16" spans="1:35" ht="6" customHeight="1" x14ac:dyDescent="0.2">
      <c r="F16" s="25"/>
      <c r="G16" s="25"/>
      <c r="H16" s="25"/>
      <c r="J16" s="25"/>
      <c r="K16" s="25"/>
      <c r="M16" s="111"/>
      <c r="O16" s="25"/>
      <c r="P16" s="25"/>
      <c r="Q16" s="116"/>
      <c r="S16" s="3"/>
      <c r="X16" s="25"/>
      <c r="Z16" s="25"/>
      <c r="AA16" s="25"/>
      <c r="AB16" s="25"/>
      <c r="AC16" s="25"/>
      <c r="AD16" s="25"/>
      <c r="AE16" s="111"/>
      <c r="AF16" s="25"/>
      <c r="AG16" s="25"/>
      <c r="AH16" s="25"/>
      <c r="AI16" s="120"/>
    </row>
    <row r="17" spans="1:35" ht="15.75" x14ac:dyDescent="0.25">
      <c r="B17" s="11" t="s">
        <v>52</v>
      </c>
      <c r="F17" s="98" t="str">
        <f>IF(J17=0," ",'Enrollment Input'!G22)</f>
        <v xml:space="preserve"> </v>
      </c>
      <c r="G17" s="82" t="s">
        <v>82</v>
      </c>
      <c r="H17" s="98" t="str">
        <f>IF('Exceptional Child Calc'!$H$43=0," ",'Exceptional Child Calc'!$H$43)</f>
        <v xml:space="preserve"> </v>
      </c>
      <c r="I17" s="14" t="s">
        <v>14</v>
      </c>
      <c r="J17" s="155">
        <f>IF('Enrollment Input'!G22=0,0,SUM('Enrollment Input'!G22-'Exceptional Child Calc'!H43))</f>
        <v>0</v>
      </c>
      <c r="K17" s="155"/>
      <c r="L17" s="16" t="s">
        <v>43</v>
      </c>
      <c r="M17" s="110">
        <f>IF('Enrollment Input'!C22=0,0,IF(J17&gt;99.99,LOOKUP(J17,criteria!Q3:Q10,criteria!R3:R10),LOOKUP('Enrollment Input'!H23,criteria!Y3:Y5,criteria!Z3:Z5)))</f>
        <v>0</v>
      </c>
      <c r="N17" s="14" t="s">
        <v>14</v>
      </c>
      <c r="O17" s="98">
        <f>ROUND(IF(J17=0,0,IF(J17&lt;99.99,IF(M17=0,8,(J17/M17)),IF(Q17&lt;LOOKUP(J17,criteria!$Q$3:$Q$10,criteria!$S$3:$S$10),LOOKUP(J17,criteria!$Q$3:$Q$10,criteria!$S$3:$S$10),Q17))),2)</f>
        <v>0</v>
      </c>
      <c r="P17" s="25" t="str">
        <f>IF(O17=0," ",IF(O17=Q17," ","Minimum"))</f>
        <v xml:space="preserve"> </v>
      </c>
      <c r="Q17" s="116">
        <f>ROUND(IF(M17=0,0,(J17/M17)),2)</f>
        <v>0</v>
      </c>
      <c r="S17" s="3"/>
      <c r="T17" s="11" t="s">
        <v>52</v>
      </c>
      <c r="X17" s="109" t="str">
        <f>IF(AB17=0," ",'Enrollment Input'!G22)</f>
        <v xml:space="preserve"> </v>
      </c>
      <c r="Y17" s="23" t="s">
        <v>82</v>
      </c>
      <c r="Z17" s="87"/>
      <c r="AA17" s="79" t="s">
        <v>14</v>
      </c>
      <c r="AB17" s="155">
        <f>IF('Enrollment Input'!$G$22=0,0,'Enrollment Input'!$G$22)</f>
        <v>0</v>
      </c>
      <c r="AC17" s="155"/>
      <c r="AD17" s="86" t="s">
        <v>43</v>
      </c>
      <c r="AE17" s="110">
        <f>IF('Enrollment Input'!C22=0,0,IF(AB17&gt;99.99,LOOKUP(AB17,criteria!Q3:Q10,criteria!R3:R10),LOOKUP('Enrollment Input'!H23,criteria!Y3:Y5,criteria!Z3:Z5)))</f>
        <v>0</v>
      </c>
      <c r="AF17" s="79" t="s">
        <v>14</v>
      </c>
      <c r="AG17" s="98">
        <f>ROUND(IF(AB17=0,0,IF(AB17&lt;99.99,IF(AE17=0,8,(AB17/AE17)),IF(AI17&lt;LOOKUP(AB17,criteria!$Q$3:$Q$10,criteria!$S$3:$S$10),LOOKUP(AB17,criteria!$Q$3:$Q$10,criteria!$S$3:$S$10),AI17))),2)</f>
        <v>0</v>
      </c>
      <c r="AH17" s="25" t="str">
        <f>IF(AG17=0," ",IF(AG17=AI17," ","Minimum"))</f>
        <v xml:space="preserve"> </v>
      </c>
      <c r="AI17" s="120">
        <f>ROUND(IF(AE17=0,0,(AB17/AE17)),2)</f>
        <v>0</v>
      </c>
    </row>
    <row r="18" spans="1:35" ht="9" customHeight="1" x14ac:dyDescent="0.2">
      <c r="B18" s="11"/>
      <c r="F18" s="101"/>
      <c r="G18" s="23"/>
      <c r="H18" s="100"/>
      <c r="I18" s="14"/>
      <c r="J18" s="100"/>
      <c r="K18" s="100"/>
      <c r="M18" s="112"/>
      <c r="N18" s="14"/>
      <c r="O18" s="100"/>
      <c r="P18" s="25"/>
      <c r="Q18" s="116"/>
      <c r="S18" s="3"/>
      <c r="T18" s="11"/>
      <c r="Z18" s="25"/>
      <c r="AA18" s="25"/>
      <c r="AB18" s="100"/>
      <c r="AC18" s="100"/>
      <c r="AD18" s="25"/>
      <c r="AE18" s="112"/>
      <c r="AF18" s="79"/>
      <c r="AG18" s="100"/>
      <c r="AH18" s="25"/>
      <c r="AI18" s="120"/>
    </row>
    <row r="19" spans="1:35" ht="15" x14ac:dyDescent="0.2">
      <c r="A19" s="7" t="s">
        <v>63</v>
      </c>
      <c r="J19" s="25"/>
      <c r="K19" s="25"/>
      <c r="M19" s="111"/>
      <c r="O19" s="25"/>
      <c r="P19" s="25"/>
      <c r="Q19" s="116"/>
      <c r="S19" s="7" t="s">
        <v>63</v>
      </c>
      <c r="Z19" s="25"/>
      <c r="AA19" s="25"/>
      <c r="AB19" s="25"/>
      <c r="AC19" s="25"/>
      <c r="AD19" s="25"/>
      <c r="AE19" s="111"/>
      <c r="AF19" s="25"/>
      <c r="AG19" s="25"/>
      <c r="AH19" s="25"/>
      <c r="AI19" s="120"/>
    </row>
    <row r="20" spans="1:35" ht="3.75" customHeight="1" x14ac:dyDescent="0.2">
      <c r="J20" s="25"/>
      <c r="K20" s="25"/>
      <c r="M20" s="111"/>
      <c r="O20" s="25"/>
      <c r="P20" s="25"/>
      <c r="Q20" s="116"/>
      <c r="S20" s="3"/>
      <c r="Z20" s="25"/>
      <c r="AA20" s="25"/>
      <c r="AB20" s="25"/>
      <c r="AC20" s="25"/>
      <c r="AD20" s="25"/>
      <c r="AE20" s="111"/>
      <c r="AF20" s="25"/>
      <c r="AG20" s="25"/>
      <c r="AH20" s="25"/>
      <c r="AI20" s="120"/>
    </row>
    <row r="21" spans="1:35" x14ac:dyDescent="0.2">
      <c r="B21" s="71" t="s">
        <v>79</v>
      </c>
      <c r="J21" s="158" t="str">
        <f>IF('Exceptional Child Calc'!H55=0," ",'Exceptional Child Calc'!H55)</f>
        <v xml:space="preserve"> </v>
      </c>
      <c r="K21" s="158"/>
      <c r="M21" s="111"/>
      <c r="O21" s="25"/>
      <c r="P21" s="25"/>
      <c r="Q21" s="116"/>
      <c r="S21" s="3"/>
      <c r="T21" s="71" t="s">
        <v>79</v>
      </c>
      <c r="Z21" s="25"/>
      <c r="AA21" s="25"/>
      <c r="AB21" s="158" t="str">
        <f>IF('Exceptional Child Calc'!H55=0," ",'Exceptional Child Calc'!H55)</f>
        <v xml:space="preserve"> </v>
      </c>
      <c r="AC21" s="158"/>
      <c r="AD21" s="25"/>
      <c r="AE21" s="111"/>
      <c r="AF21" s="25"/>
      <c r="AG21" s="25"/>
      <c r="AH21" s="25"/>
      <c r="AI21" s="120"/>
    </row>
    <row r="22" spans="1:35" ht="9" customHeight="1" x14ac:dyDescent="0.2">
      <c r="J22" s="25"/>
      <c r="K22" s="25"/>
      <c r="M22" s="111"/>
      <c r="O22" s="25"/>
      <c r="P22" s="25"/>
      <c r="Q22" s="116"/>
      <c r="S22" s="3"/>
      <c r="Z22" s="25"/>
      <c r="AA22" s="25"/>
      <c r="AB22" s="25"/>
      <c r="AC22" s="25"/>
      <c r="AD22" s="25"/>
      <c r="AE22" s="111"/>
      <c r="AF22" s="25"/>
      <c r="AG22" s="25"/>
      <c r="AH22" s="25"/>
      <c r="AI22" s="120"/>
    </row>
    <row r="23" spans="1:35" x14ac:dyDescent="0.2">
      <c r="B23" s="71" t="s">
        <v>80</v>
      </c>
      <c r="J23" s="155" t="str">
        <f>IF('Exceptional Child Calc'!H22=0," ",'Exceptional Child Calc'!H22)</f>
        <v xml:space="preserve"> </v>
      </c>
      <c r="K23" s="155"/>
      <c r="M23" s="111"/>
      <c r="O23" s="25"/>
      <c r="P23" s="25"/>
      <c r="Q23" s="116"/>
      <c r="S23" s="3"/>
      <c r="T23" s="71" t="s">
        <v>80</v>
      </c>
      <c r="Z23" s="25"/>
      <c r="AA23" s="25"/>
      <c r="AB23" s="155" t="str">
        <f>IF('Exceptional Child Calc'!H22=0," ",'Exceptional Child Calc'!H22)</f>
        <v xml:space="preserve"> </v>
      </c>
      <c r="AC23" s="155"/>
      <c r="AD23" s="25"/>
      <c r="AE23" s="111"/>
      <c r="AF23" s="25"/>
      <c r="AG23" s="25"/>
      <c r="AH23" s="25"/>
      <c r="AI23" s="120"/>
    </row>
    <row r="24" spans="1:35" ht="9" customHeight="1" x14ac:dyDescent="0.2">
      <c r="J24" s="25"/>
      <c r="K24" s="25"/>
      <c r="M24" s="111"/>
      <c r="O24" s="25"/>
      <c r="P24" s="25"/>
      <c r="Q24" s="116"/>
      <c r="S24" s="3"/>
      <c r="Z24" s="25"/>
      <c r="AA24" s="25"/>
      <c r="AB24" s="25"/>
      <c r="AC24" s="25"/>
      <c r="AD24" s="25"/>
      <c r="AE24" s="111"/>
      <c r="AF24" s="25"/>
      <c r="AG24" s="25"/>
      <c r="AH24" s="25"/>
      <c r="AI24" s="120"/>
    </row>
    <row r="25" spans="1:35" x14ac:dyDescent="0.2">
      <c r="B25" s="71" t="s">
        <v>81</v>
      </c>
      <c r="J25" s="155" t="str">
        <f>IF('Exceptional Child Calc'!$H$43=0," ",'Exceptional Child Calc'!$H$43)</f>
        <v xml:space="preserve"> </v>
      </c>
      <c r="K25" s="155"/>
      <c r="M25" s="111"/>
      <c r="O25" s="25"/>
      <c r="P25" s="25"/>
      <c r="Q25" s="116"/>
      <c r="S25" s="3"/>
      <c r="T25" s="71" t="s">
        <v>81</v>
      </c>
      <c r="Z25" s="25"/>
      <c r="AA25" s="25"/>
      <c r="AB25" s="155">
        <f>0</f>
        <v>0</v>
      </c>
      <c r="AC25" s="155"/>
      <c r="AD25" s="25"/>
      <c r="AE25" s="111"/>
      <c r="AF25" s="25"/>
      <c r="AG25" s="25"/>
      <c r="AH25" s="25"/>
      <c r="AI25" s="120"/>
    </row>
    <row r="26" spans="1:35" ht="8.25" customHeight="1" x14ac:dyDescent="0.2">
      <c r="J26" s="25"/>
      <c r="K26" s="25"/>
      <c r="M26" s="111"/>
      <c r="O26" s="25"/>
      <c r="P26" s="25"/>
      <c r="Q26" s="116"/>
      <c r="S26" s="3"/>
      <c r="Z26" s="25"/>
      <c r="AA26" s="25"/>
      <c r="AB26" s="25"/>
      <c r="AC26" s="25"/>
      <c r="AD26" s="25"/>
      <c r="AE26" s="111"/>
      <c r="AF26" s="25"/>
      <c r="AG26" s="25"/>
      <c r="AH26" s="25"/>
      <c r="AI26" s="120"/>
    </row>
    <row r="27" spans="1:35" x14ac:dyDescent="0.2">
      <c r="B27" s="71" t="s">
        <v>42</v>
      </c>
      <c r="J27" s="155" t="str">
        <f>IF('Enrollment Input'!G60=0," ",'Enrollment Input'!G60)</f>
        <v xml:space="preserve"> </v>
      </c>
      <c r="K27" s="155"/>
      <c r="M27" s="111"/>
      <c r="O27" s="25"/>
      <c r="P27" s="25"/>
      <c r="Q27" s="116"/>
      <c r="S27" s="3"/>
      <c r="T27" s="71" t="s">
        <v>42</v>
      </c>
      <c r="Z27" s="25"/>
      <c r="AA27" s="25"/>
      <c r="AB27" s="155" t="str">
        <f>IF('Enrollment Input'!G60=0," ",'Enrollment Input'!G60)</f>
        <v xml:space="preserve"> </v>
      </c>
      <c r="AC27" s="155"/>
      <c r="AD27" s="25"/>
      <c r="AE27" s="111"/>
      <c r="AF27" s="25"/>
      <c r="AG27" s="25"/>
      <c r="AH27" s="25"/>
      <c r="AI27" s="120"/>
    </row>
    <row r="28" spans="1:35" ht="6" customHeight="1" x14ac:dyDescent="0.2">
      <c r="J28" s="100"/>
      <c r="K28" s="100"/>
      <c r="M28" s="111"/>
      <c r="O28" s="25"/>
      <c r="P28" s="25"/>
      <c r="Q28" s="116"/>
      <c r="S28" s="3"/>
      <c r="Z28" s="25"/>
      <c r="AA28" s="25"/>
      <c r="AB28" s="100"/>
      <c r="AC28" s="100"/>
      <c r="AD28" s="25"/>
      <c r="AE28" s="111"/>
      <c r="AF28" s="25"/>
      <c r="AG28" s="25"/>
      <c r="AH28" s="25"/>
      <c r="AI28" s="120"/>
    </row>
    <row r="29" spans="1:35" ht="16.5" thickBot="1" x14ac:dyDescent="0.3">
      <c r="B29" s="1" t="s">
        <v>83</v>
      </c>
      <c r="J29" s="159">
        <f>SUM(J21:K27)</f>
        <v>0</v>
      </c>
      <c r="K29" s="159"/>
      <c r="L29" s="16" t="s">
        <v>43</v>
      </c>
      <c r="M29" s="110">
        <f>IF(SUM('Enrollment Input'!G16+'Enrollment Input'!G19+'Enrollment Input'!G20+'Enrollment Input'!G22)=0,0,IF(J29&gt;=14,LOOKUP(J29,criteria!$U$3:$U$10,criteria!$V$3:$V$10),0))</f>
        <v>0</v>
      </c>
      <c r="N29" s="14" t="s">
        <v>14</v>
      </c>
      <c r="O29" s="98">
        <f>IF(J29=0,0,IF(Q29&lt;LOOKUP(J29,criteria!$U$3:$U$10,criteria!$W$3:$W$10),LOOKUP(J29,criteria!$U$3:$U$10,criteria!$W$3:$W$10),Q29))</f>
        <v>0</v>
      </c>
      <c r="P29" s="25" t="str">
        <f>IF(O29=0," ",IF(O29=Q29," ","Minimum"))</f>
        <v xml:space="preserve"> </v>
      </c>
      <c r="Q29" s="116">
        <f>ROUND(IF(SUM('Enrollment Input'!G16+'Enrollment Input'!G19+'Enrollment Input'!G20+'Enrollment Input'!G22)=0,0,IF(M29=0,0,(J29/M29))),2)</f>
        <v>0</v>
      </c>
      <c r="S29" s="3"/>
      <c r="T29" s="1" t="s">
        <v>83</v>
      </c>
      <c r="Z29" s="25"/>
      <c r="AA29" s="25"/>
      <c r="AB29" s="159">
        <f>SUM(AB21:AC27)</f>
        <v>0</v>
      </c>
      <c r="AC29" s="159"/>
      <c r="AD29" s="86" t="s">
        <v>43</v>
      </c>
      <c r="AE29" s="110">
        <f>IF(SUM('Enrollment Input'!G16:G22)=0,0,IF(AB29&gt;=14,LOOKUP(AB29,criteria!$U$3:$U$10,criteria!$V$3:$V$10),0))</f>
        <v>0</v>
      </c>
      <c r="AF29" s="79" t="s">
        <v>14</v>
      </c>
      <c r="AG29" s="98">
        <f>IF(AB29=0,0,IF(AI29&lt;LOOKUP(AB29,criteria!$U$3:$U$10,criteria!$W$3:$W$10),LOOKUP(AB29,criteria!$U$3:$U$10,criteria!$W$3:$W$10),AI29))</f>
        <v>0</v>
      </c>
      <c r="AH29" s="25" t="str">
        <f>IF(AG29=0," ",IF(AG29=AI29," ","Minimum"))</f>
        <v xml:space="preserve"> </v>
      </c>
      <c r="AI29" s="120">
        <f>ROUND(IF(SUM('Enrollment Input'!G16:G22)=0,0,IF(AE29=0,0,(AB29/AE29))),2)</f>
        <v>0</v>
      </c>
    </row>
    <row r="30" spans="1:35" ht="21" customHeight="1" thickTop="1" x14ac:dyDescent="0.25">
      <c r="B30" s="103"/>
      <c r="C30" s="103"/>
      <c r="D30" s="103"/>
      <c r="E30" s="103"/>
      <c r="F30" s="103"/>
      <c r="G30" s="103"/>
      <c r="H30" s="103"/>
      <c r="J30" s="12"/>
      <c r="M30" s="111"/>
      <c r="N30" s="14"/>
      <c r="O30" s="100"/>
      <c r="P30" s="85"/>
      <c r="Q30" s="116"/>
      <c r="S30" s="3"/>
      <c r="T30" s="1"/>
      <c r="Z30" s="25"/>
      <c r="AA30" s="25"/>
      <c r="AB30" s="100"/>
      <c r="AC30" s="100"/>
      <c r="AD30" s="86"/>
      <c r="AE30" s="112"/>
      <c r="AF30" s="79"/>
      <c r="AG30" s="100"/>
      <c r="AH30" s="25"/>
      <c r="AI30" s="120"/>
    </row>
    <row r="31" spans="1:35" ht="15.75" x14ac:dyDescent="0.25">
      <c r="A31" s="4" t="s">
        <v>41</v>
      </c>
      <c r="M31" s="111"/>
      <c r="O31" s="25"/>
      <c r="P31" s="25"/>
      <c r="Q31" s="116"/>
      <c r="S31" s="4" t="s">
        <v>41</v>
      </c>
      <c r="Z31" s="25"/>
      <c r="AA31" s="25"/>
      <c r="AB31" s="25"/>
      <c r="AC31" s="25"/>
      <c r="AD31" s="25"/>
      <c r="AE31" s="111"/>
      <c r="AF31" s="25"/>
      <c r="AG31" s="25"/>
      <c r="AH31" s="25"/>
      <c r="AI31" s="120"/>
    </row>
    <row r="32" spans="1:35" ht="7.5" customHeight="1" x14ac:dyDescent="0.2">
      <c r="M32" s="111"/>
      <c r="O32" s="25"/>
      <c r="P32" s="25"/>
      <c r="Q32" s="116"/>
      <c r="S32" s="3"/>
      <c r="Z32" s="25"/>
      <c r="AA32" s="25"/>
      <c r="AB32" s="25"/>
      <c r="AC32" s="25"/>
      <c r="AD32" s="25"/>
      <c r="AE32" s="111"/>
      <c r="AF32" s="25"/>
      <c r="AG32" s="25"/>
      <c r="AH32" s="25"/>
      <c r="AI32" s="120"/>
    </row>
    <row r="33" spans="1:35" ht="12.75" customHeight="1" x14ac:dyDescent="0.25">
      <c r="A33" s="14" t="s">
        <v>86</v>
      </c>
      <c r="B33" s="164" t="str">
        <f>'Enrollment Input'!B26</f>
        <v xml:space="preserve">Kindergarten </v>
      </c>
      <c r="C33" s="164"/>
      <c r="D33" s="164"/>
      <c r="E33" s="164"/>
      <c r="F33" s="164"/>
      <c r="G33" s="164"/>
      <c r="H33" s="102"/>
      <c r="I33" s="102"/>
      <c r="J33" s="158" t="str">
        <f>IF('Enrollment Input'!G26=0," ",'Enrollment Input'!G26)</f>
        <v xml:space="preserve"> </v>
      </c>
      <c r="K33" s="158"/>
      <c r="L33" s="16" t="s">
        <v>43</v>
      </c>
      <c r="M33" s="113">
        <f>IF('Enrollment Input'!G26=0,0,LOOKUP(J33,criteria!$A$3:$A$10,criteria!$B$3:$B$10))</f>
        <v>0</v>
      </c>
      <c r="N33" s="14" t="s">
        <v>14</v>
      </c>
      <c r="O33" s="109">
        <f>IF(Q33=0,0,IF(LOOKUP(J33,criteria!$A$3:$A$10,criteria!$C$3:$C$10)=0,0,IF(Q33&lt;LOOKUP(J33,criteria!$A$3:$A$10,criteria!$C$3:$C$10),LOOKUP(J33,criteria!$A$3:$A$10,criteria!$C$3:$C$10),Q33)))</f>
        <v>0</v>
      </c>
      <c r="P33" s="114" t="str">
        <f>IF('Enrollment Input'!G26=0," ",IF(O33=0,"ADD to 1-6",IF(O33=Q33," ","Minimum")))</f>
        <v xml:space="preserve"> </v>
      </c>
      <c r="Q33" s="117">
        <f>ROUND(IF('Enrollment Input'!G26=0,0,IF(M33=0,0,(J33/M33))),2)</f>
        <v>0</v>
      </c>
      <c r="S33" s="14" t="s">
        <v>86</v>
      </c>
      <c r="T33" s="157" t="str">
        <f>'Enrollment Input'!B26</f>
        <v xml:space="preserve">Kindergarten </v>
      </c>
      <c r="U33" s="157"/>
      <c r="V33" s="157"/>
      <c r="W33" s="157"/>
      <c r="X33" s="157"/>
      <c r="Y33" s="157"/>
      <c r="Z33" s="80"/>
      <c r="AA33" s="80"/>
      <c r="AB33" s="158" t="str">
        <f>IF('Enrollment Input'!G26=0," ",'Enrollment Input'!G26)</f>
        <v xml:space="preserve"> </v>
      </c>
      <c r="AC33" s="158"/>
      <c r="AD33" s="86" t="s">
        <v>43</v>
      </c>
      <c r="AE33" s="113">
        <f>IF('Enrollment Input'!G26=0,0,LOOKUP(AB33,criteria!$A$3:$A$10,criteria!$B$3:$B$10))</f>
        <v>0</v>
      </c>
      <c r="AF33" s="79" t="s">
        <v>14</v>
      </c>
      <c r="AG33" s="109">
        <f>IF(AI33=0,0,IF(LOOKUP(AB33,criteria!$A$3:$A$10,criteria!$C$3:$C$10)=0,0,IF(AI33&lt;LOOKUP(AB33,criteria!$A$3:$A$10,criteria!$C$3:$C$10),LOOKUP(AB33,criteria!$A$3:$A$10,criteria!$C$3:$C$10),AI33)))</f>
        <v>0</v>
      </c>
      <c r="AH33" s="114" t="str">
        <f>IF('Enrollment Input'!G26=0," ",IF(AG33=0,"ADD to 1-6",IF(AG33=AI33," ","Minimum")))</f>
        <v xml:space="preserve"> </v>
      </c>
      <c r="AI33" s="121">
        <f>ROUND(IF('Enrollment Input'!G26=0,0,IF(AE33=0,0,(AB33/AE33))),2)</f>
        <v>0</v>
      </c>
    </row>
    <row r="34" spans="1:35" ht="6" customHeight="1" x14ac:dyDescent="0.2">
      <c r="A34" s="14"/>
      <c r="J34" s="26"/>
      <c r="K34" s="26"/>
      <c r="M34" s="111"/>
      <c r="O34" s="25"/>
      <c r="P34" s="25"/>
      <c r="Q34" s="116"/>
      <c r="S34" s="14"/>
      <c r="T34" s="78"/>
      <c r="U34" s="78"/>
      <c r="V34" s="78"/>
      <c r="W34" s="78"/>
      <c r="X34" s="78"/>
      <c r="Y34" s="78"/>
      <c r="Z34" s="26"/>
      <c r="AA34" s="25"/>
      <c r="AB34" s="26"/>
      <c r="AC34" s="26"/>
      <c r="AD34" s="25"/>
      <c r="AE34" s="111"/>
      <c r="AF34" s="25"/>
      <c r="AG34" s="25"/>
      <c r="AH34" s="25"/>
      <c r="AI34" s="120"/>
    </row>
    <row r="35" spans="1:35" ht="12.75" customHeight="1" x14ac:dyDescent="0.25">
      <c r="A35" s="14"/>
      <c r="B35" s="164" t="str">
        <f>'Enrollment Input'!B27</f>
        <v>Grades 1-6</v>
      </c>
      <c r="C35" s="164"/>
      <c r="D35" s="164"/>
      <c r="E35" s="164"/>
      <c r="F35" s="164"/>
      <c r="G35" s="164"/>
      <c r="H35" s="102"/>
      <c r="I35" s="102"/>
      <c r="J35" s="155" t="str">
        <f>IF('Enrollment Input'!G27=0," ",IF(P33="ADD to 1-6",SUM('Enrollment Input'!G27+'Enrollment Input'!G26),'Enrollment Input'!G27))</f>
        <v xml:space="preserve"> </v>
      </c>
      <c r="K35" s="155"/>
      <c r="L35" s="16" t="s">
        <v>43</v>
      </c>
      <c r="M35" s="110">
        <f>IF('Enrollment Input'!G27=0,0,LOOKUP(J35,criteria!$M$3:$M$10,criteria!$N$3:$N$10))</f>
        <v>0</v>
      </c>
      <c r="N35" s="14" t="s">
        <v>14</v>
      </c>
      <c r="O35" s="98">
        <f>IF(Q35=0,0,IF(Q35&lt;LOOKUP(J35,criteria!$M$3:$M$10,criteria!$O$3:$O$10),LOOKUP(J35,criteria!$M$3:$M$10,criteria!$O$3:$O$10),Q35))</f>
        <v>0</v>
      </c>
      <c r="P35" s="25" t="str">
        <f>IF(O35=0," ",IF(O35=Q35," ","Minimum"))</f>
        <v xml:space="preserve"> </v>
      </c>
      <c r="Q35" s="116">
        <f>ROUND(IF('Enrollment Input'!G27=0,0,(J35/M35)),2)</f>
        <v>0</v>
      </c>
      <c r="S35" s="14"/>
      <c r="T35" s="157" t="str">
        <f>'Enrollment Input'!B27</f>
        <v>Grades 1-6</v>
      </c>
      <c r="U35" s="157"/>
      <c r="V35" s="157"/>
      <c r="W35" s="157"/>
      <c r="X35" s="157"/>
      <c r="Y35" s="157"/>
      <c r="Z35" s="80"/>
      <c r="AA35" s="80"/>
      <c r="AB35" s="155" t="str">
        <f>IF('Enrollment Input'!G27=0," ",IF(AH33="ADD to 1-6",SUM('Enrollment Input'!G27+'Enrollment Input'!G26),'Enrollment Input'!G27))</f>
        <v xml:space="preserve"> </v>
      </c>
      <c r="AC35" s="155"/>
      <c r="AD35" s="86" t="s">
        <v>43</v>
      </c>
      <c r="AE35" s="110">
        <f>IF('Enrollment Input'!G27=0,0,LOOKUP(AB35,criteria!$M$3:$M$10,criteria!$N$3:$N$10))</f>
        <v>0</v>
      </c>
      <c r="AF35" s="79" t="s">
        <v>14</v>
      </c>
      <c r="AG35" s="98">
        <f>IF(AI35=0,0,IF(AI35&lt;LOOKUP(AB35,criteria!$M$3:$M$10,criteria!$O$3:$O$10),LOOKUP(AB35,criteria!$M$3:$M$10,criteria!$O$3:$O$10),AI35))</f>
        <v>0</v>
      </c>
      <c r="AH35" s="25" t="str">
        <f>IF(AG35=0," ",IF(AG35=AI35," ","Minimum"))</f>
        <v xml:space="preserve"> </v>
      </c>
      <c r="AI35" s="120">
        <f>ROUND(IF('Enrollment Input'!G27=0,0,(AB35/AE35)),2)</f>
        <v>0</v>
      </c>
    </row>
    <row r="36" spans="1:35" ht="6.75" customHeight="1" x14ac:dyDescent="0.2">
      <c r="A36" s="14"/>
      <c r="J36" s="27"/>
      <c r="K36" s="27"/>
      <c r="M36" s="111"/>
      <c r="O36" s="25"/>
      <c r="P36" s="25"/>
      <c r="Q36" s="116"/>
      <c r="S36" s="14"/>
      <c r="T36" s="78"/>
      <c r="U36" s="78"/>
      <c r="V36" s="78"/>
      <c r="W36" s="78"/>
      <c r="X36" s="78"/>
      <c r="Y36" s="78"/>
      <c r="Z36" s="80"/>
      <c r="AA36" s="25"/>
      <c r="AB36" s="27"/>
      <c r="AC36" s="27"/>
      <c r="AD36" s="25"/>
      <c r="AE36" s="111"/>
      <c r="AF36" s="25"/>
      <c r="AG36" s="25"/>
      <c r="AH36" s="25"/>
      <c r="AI36" s="120"/>
    </row>
    <row r="37" spans="1:35" ht="12.75" customHeight="1" x14ac:dyDescent="0.25">
      <c r="A37" s="14"/>
      <c r="B37" s="164" t="str">
        <f>'Enrollment Input'!B28</f>
        <v xml:space="preserve">Secondary </v>
      </c>
      <c r="C37" s="164"/>
      <c r="D37" s="164"/>
      <c r="E37" s="164"/>
      <c r="F37" s="164"/>
      <c r="G37" s="164"/>
      <c r="H37" s="102"/>
      <c r="I37" s="102"/>
      <c r="J37" s="155" t="str">
        <f>IF('Enrollment Input'!G28=0," ",'Enrollment Input'!G28)</f>
        <v xml:space="preserve"> </v>
      </c>
      <c r="K37" s="155"/>
      <c r="L37" s="16" t="s">
        <v>43</v>
      </c>
      <c r="M37" s="110">
        <f>IF(J37=" ",0,IF(J37&gt;99.99,LOOKUP(J37,criteria!Q3:Q10,criteria!R3:R10),LOOKUP('Enrollment Input'!H29,criteria!Y3:Y5,criteria!Z3:Z5)))</f>
        <v>0</v>
      </c>
      <c r="N37" s="14" t="s">
        <v>14</v>
      </c>
      <c r="O37" s="98">
        <f>ROUND(IF(J37=" ",0,IF(J37&lt;99.99,IF(M37=0,8,(J37/M37)),IF(Q37&lt;LOOKUP(J37,criteria!$Q$3:$Q$10,criteria!$S$3:$S$10),LOOKUP(J37,criteria!$Q$3:$Q$10,criteria!$S$3:$S$10),Q37))),2)</f>
        <v>0</v>
      </c>
      <c r="P37" s="25" t="str">
        <f>IF(O37=0," ",IF(O37=Q37," ","Minimum"))</f>
        <v xml:space="preserve"> </v>
      </c>
      <c r="Q37" s="116">
        <f>ROUND(IF(M37=0,0,(J37/M37)),2)</f>
        <v>0</v>
      </c>
      <c r="S37" s="14"/>
      <c r="T37" s="157" t="str">
        <f>'Enrollment Input'!B28</f>
        <v xml:space="preserve">Secondary </v>
      </c>
      <c r="U37" s="157"/>
      <c r="V37" s="157"/>
      <c r="W37" s="157"/>
      <c r="X37" s="157"/>
      <c r="Y37" s="157"/>
      <c r="Z37" s="80"/>
      <c r="AA37" s="80"/>
      <c r="AB37" s="155" t="str">
        <f>IF('Enrollment Input'!G28=0," ",'Enrollment Input'!G28)</f>
        <v xml:space="preserve"> </v>
      </c>
      <c r="AC37" s="155"/>
      <c r="AD37" s="86" t="s">
        <v>43</v>
      </c>
      <c r="AE37" s="110">
        <f>IF(AB37=" ",0,IF(AB37&gt;99.99,LOOKUP(AB37,criteria!Q3:Q10,criteria!R3:R10),LOOKUP('Enrollment Input'!H29,criteria!Y3:Y5,criteria!Z3:Z5)))</f>
        <v>0</v>
      </c>
      <c r="AF37" s="79" t="s">
        <v>14</v>
      </c>
      <c r="AG37" s="98">
        <f>ROUND(IF(AB37=" ",0,IF(AB37&lt;99.99,IF(AE37=0,8,(AB37/AE37)),IF(AI37&lt;LOOKUP(AB37,criteria!$Q$3:$Q$10,criteria!$S$3:$S$10),LOOKUP(AB37,criteria!$Q$3:$Q$10,criteria!$S$3:$S$10),AI37))),2)</f>
        <v>0</v>
      </c>
      <c r="AH37" s="25" t="str">
        <f>IF(AG37=0," ",IF(AG37=AI37," ","Minimum"))</f>
        <v xml:space="preserve"> </v>
      </c>
      <c r="AI37" s="120">
        <f>ROUND(IF(AE37=0,0,(AB37/AE37)),2)</f>
        <v>0</v>
      </c>
    </row>
    <row r="38" spans="1:35" ht="6.75" customHeight="1" x14ac:dyDescent="0.2">
      <c r="A38" s="14"/>
      <c r="J38" s="25"/>
      <c r="K38" s="25"/>
      <c r="M38" s="111"/>
      <c r="O38" s="25"/>
      <c r="P38" s="25"/>
      <c r="Q38" s="116"/>
      <c r="S38" s="14"/>
      <c r="T38" s="78"/>
      <c r="U38" s="78"/>
      <c r="V38" s="78"/>
      <c r="W38" s="78"/>
      <c r="X38" s="78"/>
      <c r="Y38" s="78"/>
      <c r="Z38" s="80"/>
      <c r="AA38" s="25"/>
      <c r="AB38" s="25"/>
      <c r="AC38" s="25"/>
      <c r="AD38" s="25"/>
      <c r="AE38" s="111"/>
      <c r="AF38" s="25"/>
      <c r="AG38" s="25"/>
      <c r="AH38" s="25"/>
      <c r="AI38" s="120"/>
    </row>
    <row r="39" spans="1:35" ht="12.75" customHeight="1" x14ac:dyDescent="0.25">
      <c r="A39" s="14" t="s">
        <v>87</v>
      </c>
      <c r="B39" s="164" t="str">
        <f>'Enrollment Input'!B30</f>
        <v xml:space="preserve">Kindergarten </v>
      </c>
      <c r="C39" s="164"/>
      <c r="D39" s="164"/>
      <c r="E39" s="164"/>
      <c r="F39" s="164"/>
      <c r="G39" s="164"/>
      <c r="H39" s="102"/>
      <c r="I39" s="102"/>
      <c r="J39" s="155" t="str">
        <f>IF('Enrollment Input'!G30=0," ",'Enrollment Input'!G30)</f>
        <v xml:space="preserve"> </v>
      </c>
      <c r="K39" s="155"/>
      <c r="L39" s="16" t="s">
        <v>43</v>
      </c>
      <c r="M39" s="110">
        <f>IF('Enrollment Input'!EG30=0,0,LOOKUP(J39,criteria!$A$3:$A$10,criteria!$B$3:$B$10))</f>
        <v>0</v>
      </c>
      <c r="N39" s="14" t="s">
        <v>14</v>
      </c>
      <c r="O39" s="98">
        <f>IF(Q39=0,0,IF(LOOKUP(J39,criteria!$A$3:$A$10,criteria!$C$3:$C$10)=0,0,IF(Q39&lt;LOOKUP(J39,criteria!$A$3:$A$10,criteria!$C$3:$C$10),LOOKUP(J39,criteria!$A$3:$A$10,criteria!$C$3:$C$10),Q39)))</f>
        <v>0</v>
      </c>
      <c r="P39" s="84" t="str">
        <f>IF('Enrollment Input'!G30=0," ",IF(O39=0,"ADD to 1-6",IF(O39=Q39," ","Minimum")))</f>
        <v xml:space="preserve"> </v>
      </c>
      <c r="Q39" s="116">
        <f>ROUND(IF('Enrollment Input'!G30=0,0,IF(M39=0,0,(J39/M39))),2)</f>
        <v>0</v>
      </c>
      <c r="S39" s="14" t="s">
        <v>87</v>
      </c>
      <c r="T39" s="157" t="str">
        <f>'Enrollment Input'!B30</f>
        <v xml:space="preserve">Kindergarten </v>
      </c>
      <c r="U39" s="157"/>
      <c r="V39" s="157"/>
      <c r="W39" s="157"/>
      <c r="X39" s="157"/>
      <c r="Y39" s="157"/>
      <c r="Z39" s="80"/>
      <c r="AA39" s="80"/>
      <c r="AB39" s="155" t="str">
        <f>IF('Enrollment Input'!G30=0," ",'Enrollment Input'!G30)</f>
        <v xml:space="preserve"> </v>
      </c>
      <c r="AC39" s="155"/>
      <c r="AD39" s="86" t="s">
        <v>43</v>
      </c>
      <c r="AE39" s="110">
        <f>IF('Enrollment Input'!G30=0,0,LOOKUP(AB39,criteria!$A$3:$A$10,criteria!$B$3:$B$10))</f>
        <v>0</v>
      </c>
      <c r="AF39" s="79" t="s">
        <v>14</v>
      </c>
      <c r="AG39" s="98">
        <f>IF(AI39=0,0,IF(LOOKUP(AB39,criteria!$A$3:$A$10,criteria!$C$3:$C$10)=0,0,IF(AI39&lt;LOOKUP(AB39,criteria!$A$3:$A$10,criteria!$C$3:$C$10),LOOKUP(AB39,criteria!$A$3:$A$10,criteria!$C$3:$C$10),AI39)))</f>
        <v>0</v>
      </c>
      <c r="AH39" s="84" t="str">
        <f>IF('Enrollment Input'!G30=0," ",IF(AG39=0,"ADD to 1-6",IF(AG39=AI39," ","Minimum")))</f>
        <v xml:space="preserve"> </v>
      </c>
      <c r="AI39" s="120">
        <f>ROUND(IF('Enrollment Input'!G30=0,0,IF(AE39=0,0,(AB39/AE39))),2)</f>
        <v>0</v>
      </c>
    </row>
    <row r="40" spans="1:35" ht="6.75" customHeight="1" x14ac:dyDescent="0.2">
      <c r="A40" s="14"/>
      <c r="J40" s="25"/>
      <c r="K40" s="25"/>
      <c r="M40" s="111"/>
      <c r="O40" s="25"/>
      <c r="P40" s="25"/>
      <c r="Q40" s="116"/>
      <c r="S40" s="14"/>
      <c r="T40" s="78"/>
      <c r="U40" s="78"/>
      <c r="V40" s="78"/>
      <c r="W40" s="78"/>
      <c r="X40" s="78"/>
      <c r="Y40" s="78"/>
      <c r="Z40" s="80"/>
      <c r="AA40" s="25"/>
      <c r="AB40" s="25"/>
      <c r="AC40" s="25"/>
      <c r="AD40" s="25"/>
      <c r="AE40" s="111"/>
      <c r="AF40" s="25"/>
      <c r="AG40" s="25"/>
      <c r="AH40" s="25"/>
      <c r="AI40" s="120"/>
    </row>
    <row r="41" spans="1:35" ht="12.75" customHeight="1" x14ac:dyDescent="0.25">
      <c r="A41" s="14"/>
      <c r="B41" s="164" t="str">
        <f>'Enrollment Input'!B31</f>
        <v>Grades 1-6</v>
      </c>
      <c r="C41" s="164"/>
      <c r="D41" s="164"/>
      <c r="E41" s="164"/>
      <c r="F41" s="164"/>
      <c r="G41" s="164"/>
      <c r="H41" s="102"/>
      <c r="I41" s="102"/>
      <c r="J41" s="155" t="str">
        <f>IF('Enrollment Input'!G31=0," ",IF(P39="ADD to 1-6",SUM('Enrollment Input'!G31+'Enrollment Input'!G30),'Enrollment Input'!G31))</f>
        <v xml:space="preserve"> </v>
      </c>
      <c r="K41" s="155"/>
      <c r="L41" s="16" t="s">
        <v>43</v>
      </c>
      <c r="M41" s="110">
        <f>IF('Enrollment Input'!G31=0,0,LOOKUP(J41,criteria!$M$3:$M$10,criteria!$N$3:$N$10))</f>
        <v>0</v>
      </c>
      <c r="N41" s="14" t="s">
        <v>14</v>
      </c>
      <c r="O41" s="98">
        <f>IF(Q41=0,0,IF(Q41&lt;LOOKUP(J41,criteria!$M$3:$M$10,criteria!$O$3:$O$10),LOOKUP(J41,criteria!$M$3:$M$10,criteria!$O$3:$O$10),Q41))</f>
        <v>0</v>
      </c>
      <c r="P41" s="25" t="str">
        <f>IF(O41=0," ",IF(O41=Q41," ","Minimum"))</f>
        <v xml:space="preserve"> </v>
      </c>
      <c r="Q41" s="116">
        <f>ROUND(IF('Enrollment Input'!G31=0,0,(J41/M41)),2)</f>
        <v>0</v>
      </c>
      <c r="S41" s="14"/>
      <c r="T41" s="157" t="str">
        <f>'Enrollment Input'!B31</f>
        <v>Grades 1-6</v>
      </c>
      <c r="U41" s="157"/>
      <c r="V41" s="157"/>
      <c r="W41" s="157"/>
      <c r="X41" s="157"/>
      <c r="Y41" s="157"/>
      <c r="Z41" s="80"/>
      <c r="AA41" s="80"/>
      <c r="AB41" s="155" t="str">
        <f>IF('Enrollment Input'!G31=0," ",IF(AH39="ADD to 1-6",SUM('Enrollment Input'!G31+'Enrollment Input'!G30),'Enrollment Input'!G31))</f>
        <v xml:space="preserve"> </v>
      </c>
      <c r="AC41" s="155"/>
      <c r="AD41" s="86" t="s">
        <v>43</v>
      </c>
      <c r="AE41" s="110">
        <f>IF('Enrollment Input'!G31=0,0,LOOKUP(AB41,criteria!$M$3:$M$10,criteria!$N$3:$N$10))</f>
        <v>0</v>
      </c>
      <c r="AF41" s="79" t="s">
        <v>14</v>
      </c>
      <c r="AG41" s="98">
        <f>IF(AI41=0,0,IF(AI41&lt;LOOKUP(AB41,criteria!$M$3:$M$10,criteria!$O$3:$O$10),LOOKUP(AB41,criteria!$M$3:$M$10,criteria!$O$3:$O$10),AI41))</f>
        <v>0</v>
      </c>
      <c r="AH41" s="25" t="str">
        <f>IF(AG41=0," ",IF(AG41=AI41," ","Minimum"))</f>
        <v xml:space="preserve"> </v>
      </c>
      <c r="AI41" s="120">
        <f>ROUND(IF('Enrollment Input'!G31=0,0,(AB41/AE41)),2)</f>
        <v>0</v>
      </c>
    </row>
    <row r="42" spans="1:35" ht="6.75" customHeight="1" x14ac:dyDescent="0.2">
      <c r="A42" s="14"/>
      <c r="J42" s="25"/>
      <c r="K42" s="25"/>
      <c r="M42" s="111"/>
      <c r="O42" s="25"/>
      <c r="P42" s="25"/>
      <c r="Q42" s="116"/>
      <c r="S42" s="14"/>
      <c r="T42" s="78"/>
      <c r="U42" s="78"/>
      <c r="V42" s="78"/>
      <c r="W42" s="78"/>
      <c r="X42" s="78"/>
      <c r="Y42" s="78"/>
      <c r="Z42" s="80"/>
      <c r="AA42" s="25"/>
      <c r="AB42" s="25"/>
      <c r="AC42" s="25"/>
      <c r="AD42" s="25"/>
      <c r="AE42" s="111"/>
      <c r="AF42" s="25"/>
      <c r="AG42" s="25"/>
      <c r="AH42" s="25"/>
      <c r="AI42" s="120"/>
    </row>
    <row r="43" spans="1:35" ht="12.75" customHeight="1" x14ac:dyDescent="0.25">
      <c r="A43" s="14"/>
      <c r="B43" s="164" t="str">
        <f>'Enrollment Input'!B32</f>
        <v xml:space="preserve">Secondary </v>
      </c>
      <c r="C43" s="164"/>
      <c r="D43" s="164"/>
      <c r="E43" s="164"/>
      <c r="F43" s="164"/>
      <c r="G43" s="164"/>
      <c r="H43" s="102"/>
      <c r="I43" s="102"/>
      <c r="J43" s="155" t="str">
        <f>IF('Enrollment Input'!G32=0," ",'Enrollment Input'!G32)</f>
        <v xml:space="preserve"> </v>
      </c>
      <c r="K43" s="155"/>
      <c r="L43" s="16" t="s">
        <v>43</v>
      </c>
      <c r="M43" s="110">
        <f>IF(J43=" ",0,IF(J43&gt;99.99,LOOKUP(J43,criteria!$Q$3:$Q$10,criteria!$R$3:$R$10),LOOKUP('Enrollment Input'!$H$33,criteria!$Y$3:$Y$5,criteria!$Z$3:$Z$5)))</f>
        <v>0</v>
      </c>
      <c r="N43" s="14" t="s">
        <v>14</v>
      </c>
      <c r="O43" s="98">
        <f>ROUND(IF(J43=" ",0,IF(J43&lt;99.99,IF(M43=0,8,(J43/M43)),IF(Q43&lt;LOOKUP(J43,criteria!$Q$3:$Q$10,criteria!$S$3:$S$10),LOOKUP(J43,criteria!$Q$3:$Q$10,criteria!$S$3:$S$10),Q43))),2)</f>
        <v>0</v>
      </c>
      <c r="P43" s="25" t="str">
        <f>IF(O43=0," ",IF(O43=Q43," ","Minimum"))</f>
        <v xml:space="preserve"> </v>
      </c>
      <c r="Q43" s="116">
        <f>ROUND(IF(M43=0,0,(J43/M43)),2)</f>
        <v>0</v>
      </c>
      <c r="S43" s="14"/>
      <c r="T43" s="157" t="str">
        <f>'Enrollment Input'!B32</f>
        <v xml:space="preserve">Secondary </v>
      </c>
      <c r="U43" s="157"/>
      <c r="V43" s="157"/>
      <c r="W43" s="157"/>
      <c r="X43" s="157"/>
      <c r="Y43" s="157"/>
      <c r="Z43" s="80"/>
      <c r="AA43" s="80"/>
      <c r="AB43" s="155" t="str">
        <f>IF('Enrollment Input'!G32=0," ",'Enrollment Input'!G32)</f>
        <v xml:space="preserve"> </v>
      </c>
      <c r="AC43" s="155"/>
      <c r="AD43" s="86" t="s">
        <v>43</v>
      </c>
      <c r="AE43" s="110">
        <f>IF(AB43=" ",0,IF(AB43&gt;99.99,LOOKUP(AB43,criteria!$Q$3:$Q$10,criteria!$R$3:$R$10),LOOKUP('Enrollment Input'!$H$33,criteria!$Y$3:$Y$5,criteria!$Z$3:$Z$5)))</f>
        <v>0</v>
      </c>
      <c r="AF43" s="79" t="s">
        <v>14</v>
      </c>
      <c r="AG43" s="98">
        <f>ROUND(IF(AB43=" ",0,IF(AB43&lt;99.99,IF(AE43=0,8,(AB43/AE43)),IF(AI43&lt;LOOKUP(AB43,criteria!$Q$3:$Q$10,criteria!$S$3:$S$10),LOOKUP(AB43,criteria!$Q$3:$Q$10,criteria!$S$3:$S$10),AI43))),2)</f>
        <v>0</v>
      </c>
      <c r="AH43" s="25" t="str">
        <f>IF(AG43=0," ",IF(AG43=AI43," ","Minimum"))</f>
        <v xml:space="preserve"> </v>
      </c>
      <c r="AI43" s="120">
        <f>ROUND(IF(AE43=0,0,(AB43/AE43)),2)</f>
        <v>0</v>
      </c>
    </row>
    <row r="44" spans="1:35" ht="6.75" customHeight="1" x14ac:dyDescent="0.2">
      <c r="A44" s="14"/>
      <c r="J44" s="25"/>
      <c r="K44" s="25"/>
      <c r="M44" s="111"/>
      <c r="O44" s="25"/>
      <c r="P44" s="25"/>
      <c r="Q44" s="116"/>
      <c r="S44" s="14"/>
      <c r="T44" s="78"/>
      <c r="U44" s="78"/>
      <c r="V44" s="78"/>
      <c r="W44" s="78"/>
      <c r="X44" s="78"/>
      <c r="Y44" s="78"/>
      <c r="Z44" s="80"/>
      <c r="AA44" s="25"/>
      <c r="AB44" s="25"/>
      <c r="AC44" s="25"/>
      <c r="AD44" s="25"/>
      <c r="AE44" s="111"/>
      <c r="AF44" s="25"/>
      <c r="AG44" s="25"/>
      <c r="AH44" s="25"/>
      <c r="AI44" s="120"/>
    </row>
    <row r="45" spans="1:35" ht="12.75" customHeight="1" x14ac:dyDescent="0.25">
      <c r="A45" s="14" t="s">
        <v>88</v>
      </c>
      <c r="B45" s="164" t="str">
        <f>'Enrollment Input'!B34</f>
        <v xml:space="preserve">Kindergarten </v>
      </c>
      <c r="C45" s="164"/>
      <c r="D45" s="164"/>
      <c r="E45" s="164"/>
      <c r="F45" s="164"/>
      <c r="G45" s="164"/>
      <c r="H45" s="102"/>
      <c r="I45" s="102"/>
      <c r="J45" s="155" t="str">
        <f>IF('Enrollment Input'!G34=0," ",'Enrollment Input'!G34)</f>
        <v xml:space="preserve"> </v>
      </c>
      <c r="K45" s="155"/>
      <c r="L45" s="16" t="s">
        <v>43</v>
      </c>
      <c r="M45" s="110">
        <f>IF('Enrollment Input'!G34=0,0,LOOKUP(J45,criteria!$A$3:$A$10,criteria!$B$3:$B$10))</f>
        <v>0</v>
      </c>
      <c r="N45" s="14" t="s">
        <v>14</v>
      </c>
      <c r="O45" s="98">
        <f>IF(Q45=0,0,IF(LOOKUP(J45,criteria!$A$3:$A$10,criteria!$C$3:$C$10)=0,0,IF(Q45&lt;LOOKUP(J45,criteria!$A$3:$A$10,criteria!$C$3:$C$10),LOOKUP(J45,criteria!$A$3:$A$10,criteria!$C$3:$C$10),Q45)))</f>
        <v>0</v>
      </c>
      <c r="P45" s="84" t="str">
        <f>IF('Enrollment Input'!G34=0," ",IF(O45=0,"ADD to 1-6",IF(O45=Q45," ","Minimum")))</f>
        <v xml:space="preserve"> </v>
      </c>
      <c r="Q45" s="116">
        <f>ROUND(IF('Enrollment Input'!G34=0,0,IF(M45=0,0,(J45/M45))),2)</f>
        <v>0</v>
      </c>
      <c r="S45" s="14" t="s">
        <v>88</v>
      </c>
      <c r="T45" s="157" t="str">
        <f>'Enrollment Input'!B34</f>
        <v xml:space="preserve">Kindergarten </v>
      </c>
      <c r="U45" s="157"/>
      <c r="V45" s="157"/>
      <c r="W45" s="157"/>
      <c r="X45" s="157"/>
      <c r="Y45" s="157"/>
      <c r="Z45" s="80"/>
      <c r="AA45" s="80"/>
      <c r="AB45" s="155" t="str">
        <f>IF('Enrollment Input'!G34=0," ",'Enrollment Input'!G34)</f>
        <v xml:space="preserve"> </v>
      </c>
      <c r="AC45" s="155"/>
      <c r="AD45" s="86" t="s">
        <v>43</v>
      </c>
      <c r="AE45" s="110">
        <f>IF('Enrollment Input'!G34=0,0,LOOKUP(AB45,criteria!$A$3:$A$10,criteria!$B$3:$B$10))</f>
        <v>0</v>
      </c>
      <c r="AF45" s="79" t="s">
        <v>14</v>
      </c>
      <c r="AG45" s="98">
        <f>IF(AI45=0,0,IF(LOOKUP(AB45,criteria!$A$3:$A$10,criteria!$C$3:$C$10)=0,0,IF(AI45&lt;LOOKUP(AB45,criteria!$A$3:$A$10,criteria!$C$3:$C$10),LOOKUP(AB45,criteria!$A$3:$A$10,criteria!$C$3:$C$10),AI45)))</f>
        <v>0</v>
      </c>
      <c r="AH45" s="84" t="str">
        <f>IF('Enrollment Input'!G34=0," ",IF(AG45=0,"ADD to 1-6",IF(AG45=AI45," ","Minimum")))</f>
        <v xml:space="preserve"> </v>
      </c>
      <c r="AI45" s="120">
        <f>ROUND(IF('Enrollment Input'!G34=0,0,IF(AE45=0,0,(AB45/AE45))),2)</f>
        <v>0</v>
      </c>
    </row>
    <row r="46" spans="1:35" ht="6.75" customHeight="1" x14ac:dyDescent="0.2">
      <c r="A46" s="14"/>
      <c r="J46" s="25"/>
      <c r="K46" s="25"/>
      <c r="M46" s="111"/>
      <c r="O46" s="25"/>
      <c r="P46" s="25"/>
      <c r="Q46" s="116"/>
      <c r="S46" s="14"/>
      <c r="T46" s="78"/>
      <c r="U46" s="78"/>
      <c r="V46" s="78"/>
      <c r="W46" s="78"/>
      <c r="X46" s="78"/>
      <c r="Y46" s="78"/>
      <c r="Z46" s="80"/>
      <c r="AA46" s="25"/>
      <c r="AB46" s="25"/>
      <c r="AC46" s="25"/>
      <c r="AD46" s="25"/>
      <c r="AE46" s="111"/>
      <c r="AF46" s="25"/>
      <c r="AG46" s="25"/>
      <c r="AH46" s="25"/>
      <c r="AI46" s="120"/>
    </row>
    <row r="47" spans="1:35" ht="12.75" customHeight="1" x14ac:dyDescent="0.25">
      <c r="A47" s="14"/>
      <c r="B47" s="164" t="str">
        <f>'Enrollment Input'!B35</f>
        <v>Grades 1-6</v>
      </c>
      <c r="C47" s="164"/>
      <c r="D47" s="164"/>
      <c r="E47" s="164"/>
      <c r="F47" s="164"/>
      <c r="G47" s="164"/>
      <c r="H47" s="102"/>
      <c r="I47" s="102"/>
      <c r="J47" s="155" t="str">
        <f>IF('Enrollment Input'!G35=0," ",IF(P45="ADD to 1-6",SUM('Enrollment Input'!G34+'Enrollment Input'!G35),'Enrollment Input'!G35))</f>
        <v xml:space="preserve"> </v>
      </c>
      <c r="K47" s="155"/>
      <c r="L47" s="16" t="s">
        <v>43</v>
      </c>
      <c r="M47" s="110">
        <f>IF('Enrollment Input'!G35=0,0,LOOKUP(J47,criteria!$M$3:$M$10,criteria!$N$3:$N$10))</f>
        <v>0</v>
      </c>
      <c r="N47" s="14" t="s">
        <v>14</v>
      </c>
      <c r="O47" s="98">
        <f>IF(Q47=0,0,IF(Q47&lt;LOOKUP(J47,criteria!$M$3:$M$10,criteria!$O$3:$O$10),LOOKUP(J47,criteria!$M$3:$M$10,criteria!$O$3:$O$10),Q47))</f>
        <v>0</v>
      </c>
      <c r="P47" s="25" t="str">
        <f>IF(O47=0," ",IF(O47=Q47," ","Minimum"))</f>
        <v xml:space="preserve"> </v>
      </c>
      <c r="Q47" s="116">
        <f>ROUND(IF('Enrollment Input'!G35=0,0,(J47/M47)),2)</f>
        <v>0</v>
      </c>
      <c r="S47" s="14"/>
      <c r="T47" s="157" t="str">
        <f>'Enrollment Input'!B35</f>
        <v>Grades 1-6</v>
      </c>
      <c r="U47" s="157"/>
      <c r="V47" s="157"/>
      <c r="W47" s="157"/>
      <c r="X47" s="157"/>
      <c r="Y47" s="157"/>
      <c r="Z47" s="80"/>
      <c r="AA47" s="80"/>
      <c r="AB47" s="155" t="str">
        <f>IF('Enrollment Input'!G35=0," ",IF(AH45="ADD to 1-6",SUM('Enrollment Input'!G34+'Enrollment Input'!G35),'Enrollment Input'!G35))</f>
        <v xml:space="preserve"> </v>
      </c>
      <c r="AC47" s="155"/>
      <c r="AD47" s="86" t="s">
        <v>43</v>
      </c>
      <c r="AE47" s="110">
        <f>IF('Enrollment Input'!G35=0,0,LOOKUP(AB47,criteria!$M$3:$M$10,criteria!$N$3:$N$10))</f>
        <v>0</v>
      </c>
      <c r="AF47" s="79" t="s">
        <v>14</v>
      </c>
      <c r="AG47" s="98">
        <f>IF(AI47=0,0,IF(AI47&lt;LOOKUP(AB47,criteria!$M$3:$M$10,criteria!$O$3:$O$10),LOOKUP(AB47,criteria!$M$3:$M$10,criteria!$O$3:$O$10),AI47))</f>
        <v>0</v>
      </c>
      <c r="AH47" s="25" t="str">
        <f>IF(AG47=0," ",IF(AG47=AI47," ","Minimum"))</f>
        <v xml:space="preserve"> </v>
      </c>
      <c r="AI47" s="120">
        <f>ROUND(IF('Enrollment Input'!G35=0,0,(AB47/AE47)),2)</f>
        <v>0</v>
      </c>
    </row>
    <row r="48" spans="1:35" ht="6.75" customHeight="1" x14ac:dyDescent="0.2">
      <c r="A48" s="14"/>
      <c r="J48" s="25"/>
      <c r="K48" s="25"/>
      <c r="M48" s="111"/>
      <c r="O48" s="25"/>
      <c r="P48" s="25"/>
      <c r="Q48" s="116"/>
      <c r="S48" s="14"/>
      <c r="T48" s="78"/>
      <c r="U48" s="78"/>
      <c r="V48" s="78"/>
      <c r="W48" s="78"/>
      <c r="X48" s="78"/>
      <c r="Y48" s="78"/>
      <c r="Z48" s="80"/>
      <c r="AA48" s="25"/>
      <c r="AB48" s="100"/>
      <c r="AC48" s="100"/>
      <c r="AD48" s="25"/>
      <c r="AE48" s="111"/>
      <c r="AF48" s="25"/>
      <c r="AG48" s="25"/>
      <c r="AH48" s="25"/>
      <c r="AI48" s="120"/>
    </row>
    <row r="49" spans="1:35" ht="12.75" customHeight="1" x14ac:dyDescent="0.25">
      <c r="A49" s="14"/>
      <c r="B49" s="164" t="str">
        <f>'Enrollment Input'!B36</f>
        <v xml:space="preserve">Secondary </v>
      </c>
      <c r="C49" s="164"/>
      <c r="D49" s="164"/>
      <c r="E49" s="164"/>
      <c r="F49" s="164"/>
      <c r="G49" s="164"/>
      <c r="H49" s="102"/>
      <c r="I49" s="102"/>
      <c r="J49" s="155" t="str">
        <f>IF('Enrollment Input'!G36=0," ",'Enrollment Input'!G36)</f>
        <v xml:space="preserve"> </v>
      </c>
      <c r="K49" s="155"/>
      <c r="L49" s="16" t="s">
        <v>43</v>
      </c>
      <c r="M49" s="110">
        <f>IF(J49=" ",0,IF(J49&gt;99.99,LOOKUP(J49,criteria!$Q$3:$Q$9,criteria!$R$3:$R$9),LOOKUP('Enrollment Input'!$H$37,criteria!$Y$3:$Y$5,criteria!$Z$3:$Z$51)))</f>
        <v>0</v>
      </c>
      <c r="N49" s="14" t="s">
        <v>14</v>
      </c>
      <c r="O49" s="98">
        <f>ROUND(IF(J49=" ",0,IF(J49&lt;99.99,IF(M49=0,8,(J49/M49)),IF(Q49&lt;LOOKUP(J49,criteria!$Q$3:$Q$10,criteria!$S$3:$S$10),LOOKUP(J49,criteria!$Q$3:$Q$10,criteria!$S$3:$S$10),Q49))),2)</f>
        <v>0</v>
      </c>
      <c r="P49" s="25" t="str">
        <f>IF(O49=0," ",IF(O49=Q49," ","Minimum"))</f>
        <v xml:space="preserve"> </v>
      </c>
      <c r="Q49" s="116">
        <f>ROUND(IF(M49=0,0,(J49/M49)),2)</f>
        <v>0</v>
      </c>
      <c r="S49" s="14"/>
      <c r="T49" s="157" t="str">
        <f>'Enrollment Input'!B36</f>
        <v xml:space="preserve">Secondary </v>
      </c>
      <c r="U49" s="157"/>
      <c r="V49" s="157"/>
      <c r="W49" s="157"/>
      <c r="X49" s="157"/>
      <c r="Y49" s="157"/>
      <c r="Z49" s="80"/>
      <c r="AA49" s="80"/>
      <c r="AB49" s="155" t="str">
        <f>IF('Enrollment Input'!G36=0," ",'Enrollment Input'!G36)</f>
        <v xml:space="preserve"> </v>
      </c>
      <c r="AC49" s="155"/>
      <c r="AD49" s="86" t="s">
        <v>43</v>
      </c>
      <c r="AE49" s="110">
        <f>IF(AB49=" ",0,IF(AB49&gt;99.99,LOOKUP(AB49,criteria!$Q$3:$Q$9,criteria!$R$3:$R$9),LOOKUP('Enrollment Input'!$H$37,criteria!$Y$3:$Y$5,criteria!$Z$3:$Z$51)))</f>
        <v>0</v>
      </c>
      <c r="AF49" s="79" t="s">
        <v>14</v>
      </c>
      <c r="AG49" s="98">
        <f>ROUND(IF(AB49=" ",0,IF(AB49&lt;99.99,IF(AE49=0,8,(AB49/AE49)),IF(AI49&lt;LOOKUP(AB49,criteria!$Q$3:$Q$10,criteria!$S$3:$S$10),LOOKUP(AB49,criteria!$Q$3:$Q$10,criteria!$S$3:$S$10),AI49))),2)</f>
        <v>0</v>
      </c>
      <c r="AH49" s="25" t="str">
        <f>IF(AG49=0," ",IF(AG49=AI49," ","Minimum"))</f>
        <v xml:space="preserve"> </v>
      </c>
      <c r="AI49" s="120">
        <f>ROUND(IF(AE49=0,0,(AB49/AE49)),2)</f>
        <v>0</v>
      </c>
    </row>
    <row r="50" spans="1:35" ht="6.75" customHeight="1" x14ac:dyDescent="0.2">
      <c r="A50" s="14"/>
      <c r="J50" s="25"/>
      <c r="K50" s="25"/>
      <c r="M50" s="111"/>
      <c r="O50" s="25"/>
      <c r="P50" s="25"/>
      <c r="Q50" s="116"/>
      <c r="S50" s="14"/>
      <c r="T50" s="78"/>
      <c r="U50" s="78"/>
      <c r="V50" s="78"/>
      <c r="W50" s="78"/>
      <c r="X50" s="78"/>
      <c r="Y50" s="78"/>
      <c r="Z50" s="80"/>
      <c r="AA50" s="25"/>
      <c r="AB50" s="25"/>
      <c r="AC50" s="25"/>
      <c r="AD50" s="25"/>
      <c r="AE50" s="111"/>
      <c r="AF50" s="25"/>
      <c r="AG50" s="25"/>
      <c r="AH50" s="25"/>
      <c r="AI50" s="120"/>
    </row>
    <row r="51" spans="1:35" ht="12.75" customHeight="1" x14ac:dyDescent="0.25">
      <c r="A51" s="14" t="s">
        <v>89</v>
      </c>
      <c r="B51" s="164" t="str">
        <f>'Enrollment Input'!B38</f>
        <v xml:space="preserve">Kindergarten </v>
      </c>
      <c r="C51" s="164"/>
      <c r="D51" s="164"/>
      <c r="E51" s="164"/>
      <c r="F51" s="164"/>
      <c r="G51" s="164"/>
      <c r="H51" s="102"/>
      <c r="I51" s="102"/>
      <c r="J51" s="155" t="str">
        <f>IF('Enrollment Input'!G38=0," ",'Enrollment Input'!G38)</f>
        <v xml:space="preserve"> </v>
      </c>
      <c r="K51" s="155"/>
      <c r="L51" s="16" t="s">
        <v>43</v>
      </c>
      <c r="M51" s="110">
        <f>IF('Enrollment Input'!G38=0,0,LOOKUP(J51,criteria!$A$3:$A$10,criteria!$B$3:$B$10))</f>
        <v>0</v>
      </c>
      <c r="N51" s="14" t="s">
        <v>14</v>
      </c>
      <c r="O51" s="98">
        <f>IF(Q51=0,0,IF(LOOKUP(J51,criteria!$A$3:$A$10,criteria!$C$3:$C$10)=0,0,IF(Q51&lt;LOOKUP(J51,criteria!$A$3:$A$10,criteria!$C$3:$C$10),LOOKUP(J51,criteria!$A$3:$A$10,criteria!$C$3:$C$10),Q51)))</f>
        <v>0</v>
      </c>
      <c r="P51" s="84" t="str">
        <f>IF('Enrollment Input'!G38=0," ",IF(O51=0,"ADD to 1-6",IF(O51=Q51," ","Minimum")))</f>
        <v xml:space="preserve"> </v>
      </c>
      <c r="Q51" s="116">
        <f>ROUND(IF('Enrollment Input'!G38=0,0,IF(M51=0,0,(J51/M51))),2)</f>
        <v>0</v>
      </c>
      <c r="S51" s="14" t="s">
        <v>89</v>
      </c>
      <c r="T51" s="157" t="str">
        <f>'Enrollment Input'!B38</f>
        <v xml:space="preserve">Kindergarten </v>
      </c>
      <c r="U51" s="157"/>
      <c r="V51" s="157"/>
      <c r="W51" s="157"/>
      <c r="X51" s="157"/>
      <c r="Y51" s="157"/>
      <c r="Z51" s="80"/>
      <c r="AA51" s="80"/>
      <c r="AB51" s="155" t="str">
        <f>IF('Enrollment Input'!G38=0," ",'Enrollment Input'!G38)</f>
        <v xml:space="preserve"> </v>
      </c>
      <c r="AC51" s="155"/>
      <c r="AD51" s="86" t="s">
        <v>43</v>
      </c>
      <c r="AE51" s="110">
        <f>IF('Enrollment Input'!G38=0,0,LOOKUP(AB51,criteria!$A$3:$A$10,criteria!$B$3:$B$10))</f>
        <v>0</v>
      </c>
      <c r="AF51" s="79" t="s">
        <v>14</v>
      </c>
      <c r="AG51" s="98">
        <f>IF(AI51=0,0,IF(LOOKUP(AB51,criteria!$A$3:$A$10,criteria!$C$3:$C$10)=0,0,IF(AI51&lt;LOOKUP(AB51,criteria!$A$3:$A$10,criteria!$C$3:$C$10),LOOKUP(AB51,criteria!$A$3:$A$10,criteria!$C$3:$C$10),AI51)))</f>
        <v>0</v>
      </c>
      <c r="AH51" s="84" t="str">
        <f>IF('Enrollment Input'!G38=0," ",IF(AG51=0,"ADD to 1-6",IF(AG51=AI51," ","Minimum")))</f>
        <v xml:space="preserve"> </v>
      </c>
      <c r="AI51" s="120">
        <f>ROUND(IF('Enrollment Input'!G38=0,0,IF(AE51=0,0,(AB51/AE51))),2)</f>
        <v>0</v>
      </c>
    </row>
    <row r="52" spans="1:35" ht="6.75" customHeight="1" x14ac:dyDescent="0.2">
      <c r="A52" s="14"/>
      <c r="J52" s="25"/>
      <c r="K52" s="25"/>
      <c r="M52" s="111"/>
      <c r="O52" s="25"/>
      <c r="P52" s="25"/>
      <c r="Q52" s="116"/>
      <c r="S52" s="14"/>
      <c r="T52" s="78"/>
      <c r="U52" s="78"/>
      <c r="V52" s="78"/>
      <c r="W52" s="78"/>
      <c r="X52" s="78"/>
      <c r="Y52" s="78"/>
      <c r="Z52" s="80"/>
      <c r="AA52" s="25"/>
      <c r="AB52" s="25"/>
      <c r="AC52" s="25"/>
      <c r="AD52" s="25"/>
      <c r="AE52" s="111"/>
      <c r="AF52" s="25"/>
      <c r="AG52" s="25"/>
      <c r="AH52" s="25"/>
      <c r="AI52" s="120"/>
    </row>
    <row r="53" spans="1:35" ht="12.75" customHeight="1" x14ac:dyDescent="0.25">
      <c r="A53" s="14"/>
      <c r="B53" s="164" t="str">
        <f>'Enrollment Input'!B39</f>
        <v>Grades 1-6</v>
      </c>
      <c r="C53" s="164"/>
      <c r="D53" s="164"/>
      <c r="E53" s="164"/>
      <c r="F53" s="164"/>
      <c r="G53" s="164"/>
      <c r="H53" s="102"/>
      <c r="I53" s="102"/>
      <c r="J53" s="155" t="str">
        <f>IF('Enrollment Input'!G39=0," ",IF(P51="ADD to 1-6",SUM('Enrollment Input'!G38+'Enrollment Input'!G39),'Enrollment Input'!G39))</f>
        <v xml:space="preserve"> </v>
      </c>
      <c r="K53" s="155"/>
      <c r="L53" s="16" t="s">
        <v>43</v>
      </c>
      <c r="M53" s="110">
        <f>IF('Enrollment Input'!G39=0,0,LOOKUP(J53,criteria!$M$3:$M$10,criteria!$N$3:$N$10))</f>
        <v>0</v>
      </c>
      <c r="N53" s="14" t="s">
        <v>14</v>
      </c>
      <c r="O53" s="98">
        <f>IF(Q53=0,0,IF(Q53&lt;LOOKUP(J53,criteria!$M$3:$M$10,criteria!$O$3:$O$10),LOOKUP(J53,criteria!$M$3:$M$10,criteria!$O$3:$O$10),Q53))</f>
        <v>0</v>
      </c>
      <c r="P53" s="25" t="str">
        <f>IF(O53=0," ",IF(O53=Q53," ","Minimum"))</f>
        <v xml:space="preserve"> </v>
      </c>
      <c r="Q53" s="116">
        <f>ROUND(IF('Enrollment Input'!G39=0,0,(J53/M53)),2)</f>
        <v>0</v>
      </c>
      <c r="S53" s="14"/>
      <c r="T53" s="157" t="str">
        <f>'Enrollment Input'!B39</f>
        <v>Grades 1-6</v>
      </c>
      <c r="U53" s="157"/>
      <c r="V53" s="157"/>
      <c r="W53" s="157"/>
      <c r="X53" s="157"/>
      <c r="Y53" s="157"/>
      <c r="Z53" s="80"/>
      <c r="AA53" s="80"/>
      <c r="AB53" s="155" t="str">
        <f>IF('Enrollment Input'!G39=0," ",IF(AH51="ADD to 1-6",SUM('Enrollment Input'!G38+'Enrollment Input'!G39),'Enrollment Input'!G39))</f>
        <v xml:space="preserve"> </v>
      </c>
      <c r="AC53" s="155"/>
      <c r="AD53" s="86" t="s">
        <v>43</v>
      </c>
      <c r="AE53" s="110">
        <f>IF('Enrollment Input'!G39=0,0,LOOKUP(AB53,criteria!$M$3:$M$10,criteria!$N$3:$N$10))</f>
        <v>0</v>
      </c>
      <c r="AF53" s="79" t="s">
        <v>14</v>
      </c>
      <c r="AG53" s="98">
        <f>IF(AI53=0,0,IF(AI53&lt;LOOKUP(AB53,criteria!$M$3:$M$10,criteria!$O$3:$O$10),LOOKUP(AB53,criteria!$M$3:$M$10,criteria!$O$3:$O$10),AI53))</f>
        <v>0</v>
      </c>
      <c r="AH53" s="25" t="str">
        <f>IF(AG53=0," ",IF(AG53=AI53," ","Minimum"))</f>
        <v xml:space="preserve"> </v>
      </c>
      <c r="AI53" s="120">
        <f>ROUND(IF('Enrollment Input'!G39=0,0,(AB53/AE53)),2)</f>
        <v>0</v>
      </c>
    </row>
    <row r="54" spans="1:35" ht="6.75" customHeight="1" x14ac:dyDescent="0.2">
      <c r="A54" s="14"/>
      <c r="J54" s="25"/>
      <c r="K54" s="25"/>
      <c r="M54" s="111"/>
      <c r="O54" s="25"/>
      <c r="P54" s="25"/>
      <c r="Q54" s="116"/>
      <c r="S54" s="14"/>
      <c r="T54" s="78"/>
      <c r="U54" s="78"/>
      <c r="V54" s="78"/>
      <c r="W54" s="78"/>
      <c r="X54" s="78"/>
      <c r="Y54" s="78"/>
      <c r="Z54" s="80"/>
      <c r="AA54" s="25"/>
      <c r="AB54" s="25"/>
      <c r="AC54" s="25"/>
      <c r="AD54" s="25"/>
      <c r="AE54" s="111"/>
      <c r="AF54" s="25"/>
      <c r="AG54" s="25"/>
      <c r="AH54" s="25"/>
      <c r="AI54" s="120"/>
    </row>
    <row r="55" spans="1:35" ht="12.75" customHeight="1" x14ac:dyDescent="0.25">
      <c r="A55" s="14"/>
      <c r="B55" s="164" t="str">
        <f>'Enrollment Input'!B40</f>
        <v xml:space="preserve">Secondary </v>
      </c>
      <c r="C55" s="164"/>
      <c r="D55" s="164"/>
      <c r="E55" s="164"/>
      <c r="F55" s="164"/>
      <c r="G55" s="164"/>
      <c r="H55" s="102"/>
      <c r="I55" s="102"/>
      <c r="J55" s="155" t="str">
        <f>IF('Enrollment Input'!G40=0," ",'Enrollment Input'!G40)</f>
        <v xml:space="preserve"> </v>
      </c>
      <c r="K55" s="155"/>
      <c r="L55" s="16" t="s">
        <v>43</v>
      </c>
      <c r="M55" s="110">
        <f>IF(J55=" ",0,IF(J55&gt;99.99,LOOKUP(J55,criteria!$Q$3:$Q$10,criteria!$R$3:$R$10),LOOKUP('Enrollment Input'!$H$41,criteria!$Y$3:$Y$5,criteria!$Z$3:$Z$5)))</f>
        <v>0</v>
      </c>
      <c r="N55" s="14" t="s">
        <v>14</v>
      </c>
      <c r="O55" s="98">
        <f>ROUND(IF(J55=" ",0,IF(J55&lt;99.99,IF(M55=0,8,(J55/M55)),IF(Q55&lt;LOOKUP(J55,criteria!$Q$3:$Q$10,criteria!$S$3:$S$10),LOOKUP(J55,criteria!$Q$3:$Q$10,criteria!$S$3:$S$10),Q55))),2)</f>
        <v>0</v>
      </c>
      <c r="P55" s="25" t="str">
        <f>IF(O55=0," ",IF(O55=Q55," ","Minimum"))</f>
        <v xml:space="preserve"> </v>
      </c>
      <c r="Q55" s="116">
        <f>ROUND(IF(M55=0,0,(J55/M55)),2)</f>
        <v>0</v>
      </c>
      <c r="S55" s="14"/>
      <c r="T55" s="157" t="str">
        <f>'Enrollment Input'!B40</f>
        <v xml:space="preserve">Secondary </v>
      </c>
      <c r="U55" s="157"/>
      <c r="V55" s="157"/>
      <c r="W55" s="157"/>
      <c r="X55" s="157"/>
      <c r="Y55" s="157"/>
      <c r="Z55" s="80"/>
      <c r="AA55" s="80"/>
      <c r="AB55" s="155" t="str">
        <f>IF('Enrollment Input'!G40=0," ",'Enrollment Input'!G40)</f>
        <v xml:space="preserve"> </v>
      </c>
      <c r="AC55" s="155"/>
      <c r="AD55" s="86" t="s">
        <v>43</v>
      </c>
      <c r="AE55" s="110">
        <f>IF(AB55=" ",0,IF(AB55&gt;99.99,LOOKUP(AB55,criteria!$Q$3:$Q$10,criteria!$R$3:$R$10),LOOKUP('Enrollment Input'!$H$41,criteria!$Y$3:$Y$5,criteria!$Z$3:$Z$5)))</f>
        <v>0</v>
      </c>
      <c r="AF55" s="79" t="s">
        <v>14</v>
      </c>
      <c r="AG55" s="98">
        <f>ROUND(IF(AB55=" ",0,IF(AB55&lt;99.99,IF(AE55=0,8,(AB55/AE55)),IF(AI55&lt;LOOKUP(AB55,criteria!$Q$3:$Q$10,criteria!$S$3:$S$10),LOOKUP(AB55,criteria!$Q$3:$Q$10,criteria!$S$3:$S$10),AI55))),2)</f>
        <v>0</v>
      </c>
      <c r="AH55" s="25" t="str">
        <f>IF(AG55=0," ",IF(AG55=AI55," ","Minimum"))</f>
        <v xml:space="preserve"> </v>
      </c>
      <c r="AI55" s="120">
        <f>ROUND(IF(AE55=0,0,(AB55/AE55)),2)</f>
        <v>0</v>
      </c>
    </row>
    <row r="56" spans="1:35" ht="6.75" customHeight="1" x14ac:dyDescent="0.2">
      <c r="A56" s="14"/>
      <c r="J56" s="25"/>
      <c r="K56" s="25"/>
      <c r="M56" s="111"/>
      <c r="O56" s="25"/>
      <c r="P56" s="25"/>
      <c r="Q56" s="116"/>
      <c r="S56" s="14"/>
      <c r="T56" s="78"/>
      <c r="U56" s="78"/>
      <c r="V56" s="78"/>
      <c r="W56" s="78"/>
      <c r="X56" s="78"/>
      <c r="Y56" s="78"/>
      <c r="Z56" s="80"/>
      <c r="AA56" s="25"/>
      <c r="AB56" s="25"/>
      <c r="AC56" s="25"/>
      <c r="AD56" s="25"/>
      <c r="AE56" s="111"/>
      <c r="AF56" s="25"/>
      <c r="AG56" s="25"/>
      <c r="AH56" s="25"/>
      <c r="AI56" s="120"/>
    </row>
    <row r="57" spans="1:35" ht="12.75" customHeight="1" x14ac:dyDescent="0.25">
      <c r="A57" s="14" t="s">
        <v>91</v>
      </c>
      <c r="B57" s="164" t="str">
        <f>'Enrollment Input'!B44</f>
        <v xml:space="preserve">Kindergarten </v>
      </c>
      <c r="C57" s="164"/>
      <c r="D57" s="164"/>
      <c r="E57" s="164"/>
      <c r="F57" s="164"/>
      <c r="G57" s="164"/>
      <c r="H57" s="102"/>
      <c r="I57" s="102"/>
      <c r="J57" s="155" t="str">
        <f>IF('Enrollment Input'!G44=0," ",'Enrollment Input'!G44)</f>
        <v xml:space="preserve"> </v>
      </c>
      <c r="K57" s="155"/>
      <c r="L57" s="16" t="s">
        <v>43</v>
      </c>
      <c r="M57" s="110">
        <f>IF('Enrollment Input'!G44=0,0,LOOKUP(J57,criteria!$A$3:$A$10,criteria!$B$3:$B$10))</f>
        <v>0</v>
      </c>
      <c r="N57" s="14" t="s">
        <v>14</v>
      </c>
      <c r="O57" s="98">
        <f>IF(Q57=0,0,IF(LOOKUP(J57,criteria!$A$3:$A$10,criteria!$C$3:$C$10)=0,0,IF(Q57&lt;LOOKUP(J57,criteria!$A$3:$A$10,criteria!$C$3:$C$10),LOOKUP(J57,criteria!$A$3:$A$10,criteria!$C$3:$C$10),Q57)))</f>
        <v>0</v>
      </c>
      <c r="P57" s="84" t="str">
        <f>IF('Enrollment Input'!G44=0," ",IF(O57=0,"ADD to 1-3",IF(O57=Q57," ","Minimum")))</f>
        <v xml:space="preserve"> </v>
      </c>
      <c r="Q57" s="116">
        <f>ROUND(IF('Enrollment Input'!G44=0,0,IF(M57=0,0,(J57/M57))),2)</f>
        <v>0</v>
      </c>
      <c r="S57" s="14" t="s">
        <v>91</v>
      </c>
      <c r="T57" s="157" t="str">
        <f>'Enrollment Input'!B44</f>
        <v xml:space="preserve">Kindergarten </v>
      </c>
      <c r="U57" s="157"/>
      <c r="V57" s="157"/>
      <c r="W57" s="157"/>
      <c r="X57" s="157"/>
      <c r="Y57" s="157"/>
      <c r="Z57" s="80"/>
      <c r="AA57" s="80"/>
      <c r="AB57" s="155" t="str">
        <f>IF('Enrollment Input'!G44=0," ",'Enrollment Input'!G44)</f>
        <v xml:space="preserve"> </v>
      </c>
      <c r="AC57" s="155"/>
      <c r="AD57" s="86" t="s">
        <v>43</v>
      </c>
      <c r="AE57" s="110">
        <f>IF('Enrollment Input'!G44=0,0,LOOKUP(AB57,criteria!$A$3:$A$10,criteria!$B$3:$B$10))</f>
        <v>0</v>
      </c>
      <c r="AF57" s="79" t="s">
        <v>14</v>
      </c>
      <c r="AG57" s="98">
        <f>IF(AI57=0,0,IF(LOOKUP(AB57,criteria!$A$3:$A$10,criteria!$C$3:$C$10)=0,0,IF(AI57&lt;LOOKUP(AB57,criteria!$A$3:$A$10,criteria!$C$3:$C$10),LOOKUP(AB57,criteria!$A$3:$A$10,criteria!$C$3:$C$10),AI57)))</f>
        <v>0</v>
      </c>
      <c r="AH57" s="84" t="str">
        <f>IF('Enrollment Input'!G44=0," ",IF(AG57=0,"ADD to 1-3",IF(AG57=AI57," ","Minimum")))</f>
        <v xml:space="preserve"> </v>
      </c>
      <c r="AI57" s="120">
        <f>ROUND(IF('Enrollment Input'!G44=0,0,IF(AE57=0,0,(AB57/AE57))),2)</f>
        <v>0</v>
      </c>
    </row>
    <row r="58" spans="1:35" ht="5.25" customHeight="1" x14ac:dyDescent="0.2">
      <c r="A58" s="14"/>
      <c r="J58" s="25"/>
      <c r="K58" s="25"/>
      <c r="M58" s="111"/>
      <c r="O58" s="25"/>
      <c r="P58" s="25"/>
      <c r="Q58" s="116"/>
      <c r="S58" s="14"/>
      <c r="T58" s="78"/>
      <c r="U58" s="78"/>
      <c r="V58" s="78"/>
      <c r="W58" s="78"/>
      <c r="X58" s="78"/>
      <c r="Y58" s="78"/>
      <c r="Z58" s="80"/>
      <c r="AA58" s="25"/>
      <c r="AB58" s="25"/>
      <c r="AC58" s="25"/>
      <c r="AD58" s="25"/>
      <c r="AE58" s="111"/>
      <c r="AF58" s="25"/>
      <c r="AG58" s="25"/>
      <c r="AH58" s="25"/>
      <c r="AI58" s="120"/>
    </row>
    <row r="59" spans="1:35" ht="12.75" customHeight="1" x14ac:dyDescent="0.25">
      <c r="A59" s="14"/>
      <c r="B59" s="164" t="str">
        <f>'Enrollment Input'!B45</f>
        <v>Grades 1-3</v>
      </c>
      <c r="C59" s="164"/>
      <c r="D59" s="164"/>
      <c r="E59" s="164"/>
      <c r="F59" s="164"/>
      <c r="G59" s="164"/>
      <c r="H59" s="6"/>
      <c r="J59" s="155" t="str">
        <f>IF('Enrollment Input'!$G$45=0," ",IF($P$57="ADD to 1-3",SUM('Enrollment Input'!$G$45+'Enrollment Input'!$G$44),'Enrollment Input'!$G$45))</f>
        <v xml:space="preserve"> </v>
      </c>
      <c r="K59" s="155"/>
      <c r="L59" s="16" t="s">
        <v>43</v>
      </c>
      <c r="M59" s="110">
        <f>IF('Enrollment Input'!G45=0,0,IF(SUM($J$59+$J$60)&gt;299.99,20,0))</f>
        <v>0</v>
      </c>
      <c r="N59" s="14" t="s">
        <v>14</v>
      </c>
      <c r="O59" s="98">
        <f>ROUND(IF(('Enrollment Input'!$G$45+'Enrollment Input'!$G$46)&lt;300,0,IF(Q59+Q60&lt;15,0,(J59/M59))),2)</f>
        <v>0</v>
      </c>
      <c r="P59" s="84" t="str">
        <f>IF('Enrollment Input'!G45=0," ",IF(O59=0,"ADD to 4-6",IF(O59=Q59," ","Minimum")))</f>
        <v xml:space="preserve"> </v>
      </c>
      <c r="Q59" s="116">
        <f>ROUND(IF('Enrollment Input'!G45=0,0,IF(M59=0,0,(J59/M59))),2)</f>
        <v>0</v>
      </c>
      <c r="S59" s="14"/>
      <c r="T59" s="157" t="str">
        <f>'Enrollment Input'!B45</f>
        <v>Grades 1-3</v>
      </c>
      <c r="U59" s="157"/>
      <c r="V59" s="157"/>
      <c r="W59" s="157"/>
      <c r="X59" s="157"/>
      <c r="Y59" s="157"/>
      <c r="Z59" s="80"/>
      <c r="AA59" s="25"/>
      <c r="AB59" s="155" t="str">
        <f>IF('Enrollment Input'!$G$45=0," ",IF($P$58="ADD to 1-3",SUM('Enrollment Input'!$G$45+'Enrollment Input'!$G$44),'Enrollment Input'!$G$45))</f>
        <v xml:space="preserve"> </v>
      </c>
      <c r="AC59" s="155"/>
      <c r="AD59" s="86" t="s">
        <v>43</v>
      </c>
      <c r="AE59" s="110">
        <f>IF('Enrollment Input'!G45=0,0,IF(SUM($AB$59+$AB$60)&gt;299.99,20,0))</f>
        <v>0</v>
      </c>
      <c r="AF59" s="79" t="s">
        <v>14</v>
      </c>
      <c r="AG59" s="98">
        <f>ROUND(IF(('Enrollment Input'!$G$45+'Enrollment Input'!$G$46)&lt;300,0,IF(AI59+AI60&lt;15,0,(AB59/AE59))),2)</f>
        <v>0</v>
      </c>
      <c r="AH59" s="84" t="str">
        <f>IF('Enrollment Input'!G45=0," ",IF(AG59=0,"ADD to 1-6",IF(AG59=AI59," ","Minimum")))</f>
        <v xml:space="preserve"> </v>
      </c>
      <c r="AI59" s="120">
        <f>ROUND(IF('Enrollment Input'!G45=0,0,IF(AE59=0,0,(AB59/AE59))),2)</f>
        <v>0</v>
      </c>
    </row>
    <row r="60" spans="1:35" ht="15.75" customHeight="1" x14ac:dyDescent="0.25">
      <c r="B60" s="164" t="str">
        <f>'Enrollment Input'!B46</f>
        <v>Grades 4-6</v>
      </c>
      <c r="C60" s="164"/>
      <c r="D60" s="164"/>
      <c r="E60" s="164"/>
      <c r="F60" s="164"/>
      <c r="G60" s="164"/>
      <c r="H60" s="102"/>
      <c r="I60" s="102"/>
      <c r="J60" s="155" t="str">
        <f>IF('Enrollment Input'!$G$46=0," ",'Enrollment Input'!$G$46)</f>
        <v xml:space="preserve"> </v>
      </c>
      <c r="K60" s="155"/>
      <c r="L60" s="16" t="s">
        <v>43</v>
      </c>
      <c r="M60" s="110">
        <f>IF('Enrollment Input'!G46=0,0,IF(SUM($J$59+$J$60)&gt;299.99,23,0))</f>
        <v>0</v>
      </c>
      <c r="N60" s="14" t="s">
        <v>14</v>
      </c>
      <c r="O60" s="98">
        <f>ROUND(IF(('Enrollment Input'!$G$45+'Enrollment Input'!$G$46)&lt;300,0,IF(Q60+Q59&lt;15,0,(J60/M60))),2)</f>
        <v>0</v>
      </c>
      <c r="P60" s="84" t="str">
        <f>IF('Enrollment Input'!$G$46=0," ",IF(O60=0,"ADD to 1-3",IF(O60=Q60," ","Minimum")))</f>
        <v xml:space="preserve"> </v>
      </c>
      <c r="Q60" s="116">
        <f>ROUND(IF('Enrollment Input'!G46=0,0,(J60/M60)),2)</f>
        <v>0</v>
      </c>
      <c r="S60" s="3"/>
      <c r="T60" s="156" t="str">
        <f>'Enrollment Input'!B46</f>
        <v>Grades 4-6</v>
      </c>
      <c r="U60" s="156"/>
      <c r="V60" s="156"/>
      <c r="W60" s="156"/>
      <c r="X60" s="156"/>
      <c r="Y60" s="156"/>
      <c r="Z60" s="80"/>
      <c r="AA60" s="80"/>
      <c r="AB60" s="170" t="str">
        <f>IF('Enrollment Input'!$G$46=0," ",'Enrollment Input'!$G$46)</f>
        <v xml:space="preserve"> </v>
      </c>
      <c r="AC60" s="170"/>
      <c r="AD60" s="86" t="s">
        <v>43</v>
      </c>
      <c r="AE60" s="110">
        <f>IF('Enrollment Input'!G46=0,0,IF(SUM($AB$59+$AB$60)&gt;299.99,23,0))</f>
        <v>0</v>
      </c>
      <c r="AF60" s="79" t="s">
        <v>14</v>
      </c>
      <c r="AG60" s="98">
        <f>ROUND(IF(('Enrollment Input'!$G$45+'Enrollment Input'!$G$46)&lt;300,0,IF(AI60+AI59&lt;15,0,(AB60/AE60))),2)</f>
        <v>0</v>
      </c>
      <c r="AH60" s="84" t="str">
        <f>IF('Enrollment Input'!$G$46=0," ",IF(AG60=0,"ADD to 1-3",IF(AG60=AI60," ","Minimum")))</f>
        <v xml:space="preserve"> </v>
      </c>
      <c r="AI60" s="120">
        <f>ROUND(IF('Enrollment Input'!G46=0,0,(AB60/AE60)),2)</f>
        <v>0</v>
      </c>
    </row>
    <row r="61" spans="1:35" ht="15.75" customHeight="1" x14ac:dyDescent="0.25">
      <c r="B61" s="102"/>
      <c r="C61" s="102"/>
      <c r="D61" s="102"/>
      <c r="E61" s="102"/>
      <c r="F61" s="102"/>
      <c r="G61" s="102"/>
      <c r="H61" s="102"/>
      <c r="I61" s="102"/>
      <c r="J61" s="100"/>
      <c r="K61" s="100"/>
      <c r="L61" s="16"/>
      <c r="M61" s="112"/>
      <c r="N61" s="14"/>
      <c r="O61" s="79" t="str">
        <f>IF(P61="Minimum",15," ")</f>
        <v xml:space="preserve"> </v>
      </c>
      <c r="P61" s="25" t="str">
        <f>IF(Q59+Q60=0," ",IF(Q59+Q60&lt;15,"Minimum"," "))</f>
        <v xml:space="preserve"> </v>
      </c>
      <c r="Q61" s="116"/>
      <c r="S61" s="3"/>
      <c r="T61" s="104"/>
      <c r="U61" s="104"/>
      <c r="V61" s="104"/>
      <c r="W61" s="104"/>
      <c r="X61" s="104"/>
      <c r="Y61" s="104"/>
      <c r="Z61" s="80"/>
      <c r="AA61" s="80"/>
      <c r="AB61" s="100"/>
      <c r="AC61" s="100"/>
      <c r="AD61" s="86"/>
      <c r="AE61" s="112"/>
      <c r="AF61" s="79"/>
      <c r="AG61" s="79" t="str">
        <f>IF(AH61="Minimum",15," ")</f>
        <v xml:space="preserve"> </v>
      </c>
      <c r="AH61" s="25" t="str">
        <f>IF(AI59+AI60=0," ",IF(AI59+AI60&lt;15,"Minimum"," "))</f>
        <v xml:space="preserve"> </v>
      </c>
      <c r="AI61" s="120"/>
    </row>
    <row r="62" spans="1:35" ht="6.75" customHeight="1" x14ac:dyDescent="0.2">
      <c r="J62" s="25"/>
      <c r="K62" s="25"/>
      <c r="M62" s="111"/>
      <c r="O62" s="25"/>
      <c r="P62" s="25"/>
      <c r="Q62" s="116"/>
      <c r="S62" s="3"/>
      <c r="T62" s="78"/>
      <c r="U62" s="78"/>
      <c r="V62" s="78"/>
      <c r="W62" s="78"/>
      <c r="X62" s="78"/>
      <c r="Y62" s="78"/>
      <c r="Z62" s="80"/>
      <c r="AA62" s="25"/>
      <c r="AB62" s="25"/>
      <c r="AC62" s="25"/>
      <c r="AD62" s="25"/>
      <c r="AE62" s="111"/>
      <c r="AF62" s="25"/>
      <c r="AG62" s="25"/>
      <c r="AH62" s="25"/>
      <c r="AI62" s="120"/>
    </row>
    <row r="63" spans="1:35" ht="12.75" customHeight="1" x14ac:dyDescent="0.25">
      <c r="B63" s="164" t="str">
        <f>'Enrollment Input'!B47</f>
        <v xml:space="preserve">Secondary </v>
      </c>
      <c r="C63" s="164"/>
      <c r="D63" s="164"/>
      <c r="E63" s="164"/>
      <c r="F63" s="164"/>
      <c r="G63" s="164"/>
      <c r="H63" s="102"/>
      <c r="I63" s="102"/>
      <c r="J63" s="155" t="str">
        <f>IF('Enrollment Input'!G47=0," ",'Enrollment Input'!G47)</f>
        <v xml:space="preserve"> </v>
      </c>
      <c r="K63" s="155"/>
      <c r="L63" s="16" t="s">
        <v>43</v>
      </c>
      <c r="M63" s="110">
        <f>IF(J63=" ",0,IF(J63&gt;99.99,LOOKUP(J63,criteria!$Q$3:$Q$10,criteria!$R$3:$R$10),LOOKUP('Enrollment Input'!$H$48,criteria!$Y$3:$Y$5,criteria!$Z$3:$Z$5)))</f>
        <v>0</v>
      </c>
      <c r="N63" s="14" t="s">
        <v>14</v>
      </c>
      <c r="O63" s="98">
        <f>ROUND(IF(J63=" ",0,IF(J63&lt;99.99,IF(M63=0,8,(J63/M63)),IF(Q63&lt;LOOKUP(J63,criteria!$Q$3:$Q$10,criteria!$S$3:$S$10),LOOKUP(J63,criteria!$Q$3:$Q$10,criteria!$S$3:$S$10),Q63))),2)</f>
        <v>0</v>
      </c>
      <c r="P63" s="25" t="str">
        <f>IF(O63=0," ",IF(O63=Q63," ","Minimum"))</f>
        <v xml:space="preserve"> </v>
      </c>
      <c r="Q63" s="116">
        <f>ROUND(IF(M63=0,0,(J63/M63)),2)</f>
        <v>0</v>
      </c>
      <c r="S63" s="3"/>
      <c r="T63" s="157" t="str">
        <f>'Enrollment Input'!B47</f>
        <v xml:space="preserve">Secondary </v>
      </c>
      <c r="U63" s="157"/>
      <c r="V63" s="157"/>
      <c r="W63" s="157"/>
      <c r="X63" s="157"/>
      <c r="Y63" s="157"/>
      <c r="Z63" s="80"/>
      <c r="AA63" s="80"/>
      <c r="AB63" s="155" t="str">
        <f>IF('Enrollment Input'!G47=0," ",'Enrollment Input'!G47)</f>
        <v xml:space="preserve"> </v>
      </c>
      <c r="AC63" s="155"/>
      <c r="AD63" s="86" t="s">
        <v>43</v>
      </c>
      <c r="AE63" s="110">
        <f>IF(AB63=" ",0,IF(AB63&gt;99.99,LOOKUP(AB63,criteria!$Q$3:$Q$10,criteria!$R$3:$R$10),LOOKUP('Enrollment Input'!$H$48,criteria!$Y$3:$Y$5,criteria!$Z$3:$Z$5)))</f>
        <v>0</v>
      </c>
      <c r="AF63" s="79" t="s">
        <v>14</v>
      </c>
      <c r="AG63" s="98">
        <f>ROUND(IF(AB63=" ",0,IF(AB63&lt;99.99,IF(AE63=0,8,(AB63/AE63)),IF(AI63&lt;LOOKUP(AB63,criteria!$Q$3:$Q$10,criteria!$S$3:$S$10),LOOKUP(AB63,criteria!$Q$3:$Q$10,criteria!$S$3:$S$10),AI63))),2)</f>
        <v>0</v>
      </c>
      <c r="AH63" s="25" t="str">
        <f>IF(AG63=0," ",IF(AG63=AI63," ","Minimum"))</f>
        <v xml:space="preserve"> </v>
      </c>
      <c r="AI63" s="120">
        <f>ROUND(IF(AE63=0,0,(AB63/AE63)),2)</f>
        <v>0</v>
      </c>
    </row>
    <row r="64" spans="1:35" x14ac:dyDescent="0.2">
      <c r="B64" s="102"/>
      <c r="C64" s="102"/>
      <c r="D64" s="102"/>
      <c r="E64" s="102"/>
      <c r="F64" s="102"/>
      <c r="G64" s="102"/>
      <c r="H64" s="102"/>
      <c r="I64" s="102"/>
      <c r="J64" s="100"/>
      <c r="K64" s="100"/>
      <c r="M64" s="112"/>
      <c r="N64" s="14"/>
      <c r="O64" s="100"/>
      <c r="P64" s="25"/>
      <c r="Q64" s="116"/>
      <c r="S64" s="3"/>
      <c r="T64" s="102"/>
      <c r="U64" s="102"/>
      <c r="V64" s="102"/>
      <c r="W64" s="102"/>
      <c r="X64" s="102"/>
      <c r="Y64" s="102"/>
      <c r="Z64" s="80"/>
      <c r="AA64" s="80"/>
      <c r="AB64" s="100"/>
      <c r="AC64" s="100"/>
      <c r="AD64" s="25"/>
      <c r="AE64" s="112"/>
      <c r="AF64" s="79"/>
      <c r="AG64" s="100"/>
      <c r="AH64" s="25"/>
      <c r="AI64" s="120"/>
    </row>
    <row r="65" spans="1:35" ht="19.5" customHeight="1" x14ac:dyDescent="0.25">
      <c r="A65" s="4" t="s">
        <v>98</v>
      </c>
      <c r="J65" s="25"/>
      <c r="K65" s="25"/>
      <c r="M65" s="111"/>
      <c r="O65" s="25"/>
      <c r="P65" s="25"/>
      <c r="Q65" s="116"/>
      <c r="S65" s="4" t="s">
        <v>98</v>
      </c>
      <c r="Z65" s="25"/>
      <c r="AA65" s="25"/>
      <c r="AB65" s="25"/>
      <c r="AC65" s="25"/>
      <c r="AD65" s="25"/>
      <c r="AE65" s="111"/>
      <c r="AF65" s="25"/>
      <c r="AG65" s="25"/>
      <c r="AH65" s="25"/>
      <c r="AI65" s="120"/>
    </row>
    <row r="66" spans="1:35" ht="15.75" x14ac:dyDescent="0.25">
      <c r="B66" s="164" t="str">
        <f>IF('Enrollment Input'!E51=0," ","Alternative Secondary High School")</f>
        <v xml:space="preserve"> </v>
      </c>
      <c r="C66" s="164"/>
      <c r="D66" s="164"/>
      <c r="E66" s="164"/>
      <c r="F66" s="164"/>
      <c r="G66" s="164"/>
      <c r="H66" s="102"/>
      <c r="I66" s="102"/>
      <c r="J66" s="155">
        <f>'Enrollment Input'!G51</f>
        <v>0</v>
      </c>
      <c r="K66" s="155"/>
      <c r="L66" s="16" t="s">
        <v>43</v>
      </c>
      <c r="M66" s="113">
        <f>IF(J66=0,0,IF(Q66&lt;1,M17,12))</f>
        <v>0</v>
      </c>
      <c r="N66" s="14" t="s">
        <v>14</v>
      </c>
      <c r="O66" s="98">
        <f>ROUND(IF(J66=0,0,J66/M66),2)</f>
        <v>0</v>
      </c>
      <c r="P66" s="85"/>
      <c r="Q66" s="116">
        <f>ROUND(IF(J66=0,0,J66/12),2)</f>
        <v>0</v>
      </c>
      <c r="S66" s="3"/>
      <c r="T66" s="157" t="str">
        <f>IF('Enrollment Input'!E51=0," ","Alternative Secondary High School")</f>
        <v xml:space="preserve"> </v>
      </c>
      <c r="U66" s="157"/>
      <c r="V66" s="157"/>
      <c r="W66" s="157"/>
      <c r="X66" s="157"/>
      <c r="Y66" s="157"/>
      <c r="Z66" s="80"/>
      <c r="AA66" s="80"/>
      <c r="AB66" s="155">
        <f>'Enrollment Input'!G51</f>
        <v>0</v>
      </c>
      <c r="AC66" s="155"/>
      <c r="AD66" s="86" t="s">
        <v>43</v>
      </c>
      <c r="AE66" s="110">
        <f>IF(AB66=0,0,IF(AI66&lt;1,AE17,12))</f>
        <v>0</v>
      </c>
      <c r="AF66" s="79" t="s">
        <v>14</v>
      </c>
      <c r="AG66" s="98">
        <f>ROUND(IF(AB66=0,0,AB66/AE66),2)</f>
        <v>0</v>
      </c>
      <c r="AH66" s="85"/>
      <c r="AI66" s="120">
        <f>ROUND(IF(AB66=0,0,AB66/12),2)</f>
        <v>0</v>
      </c>
    </row>
    <row r="67" spans="1:35" ht="11.25" customHeight="1" x14ac:dyDescent="0.2">
      <c r="J67" s="25"/>
      <c r="K67" s="25"/>
      <c r="M67" s="111"/>
      <c r="O67" s="25"/>
      <c r="P67" s="25"/>
      <c r="Q67" s="116"/>
      <c r="S67" s="3"/>
      <c r="T67" s="78"/>
      <c r="U67" s="78"/>
      <c r="V67" s="78"/>
      <c r="W67" s="78"/>
      <c r="X67" s="78"/>
      <c r="Y67" s="78"/>
      <c r="Z67" s="25"/>
      <c r="AA67" s="25"/>
      <c r="AB67" s="25"/>
      <c r="AC67" s="25"/>
      <c r="AD67" s="25"/>
      <c r="AE67" s="111"/>
      <c r="AF67" s="25"/>
      <c r="AG67" s="25"/>
      <c r="AH67" s="25"/>
      <c r="AI67" s="120"/>
    </row>
    <row r="68" spans="1:35" ht="11.25" customHeight="1" x14ac:dyDescent="0.25">
      <c r="B68" s="164" t="str">
        <f>IF('Enrollment Input'!E53=0," ","Summer Alternative Secondary High School")</f>
        <v xml:space="preserve"> </v>
      </c>
      <c r="C68" s="164"/>
      <c r="D68" s="164"/>
      <c r="E68" s="164"/>
      <c r="F68" s="164"/>
      <c r="G68" s="164"/>
      <c r="J68" s="155">
        <f>'Enrollment Input'!G53</f>
        <v>0</v>
      </c>
      <c r="K68" s="155"/>
      <c r="L68" s="16" t="s">
        <v>43</v>
      </c>
      <c r="M68" s="110">
        <f>IF(J68=0,0,40)</f>
        <v>0</v>
      </c>
      <c r="N68" s="14" t="s">
        <v>14</v>
      </c>
      <c r="O68" s="98">
        <f>ROUND(IF(J68=0,0,J68/M68),2)</f>
        <v>0</v>
      </c>
      <c r="P68" s="85"/>
      <c r="Q68" s="116">
        <f>ROUND(IF(J68=0,0,J68/40),2)</f>
        <v>0</v>
      </c>
      <c r="S68" s="3"/>
      <c r="T68" s="157" t="str">
        <f>IF('Enrollment Input'!E53=0," ","Summer Alternative Secondary High School")</f>
        <v xml:space="preserve"> </v>
      </c>
      <c r="U68" s="157"/>
      <c r="V68" s="157"/>
      <c r="W68" s="157"/>
      <c r="X68" s="157"/>
      <c r="Y68" s="157"/>
      <c r="Z68" s="25"/>
      <c r="AA68" s="25"/>
      <c r="AB68" s="155">
        <f>'Enrollment Input'!G53</f>
        <v>0</v>
      </c>
      <c r="AC68" s="155"/>
      <c r="AD68" s="86" t="s">
        <v>43</v>
      </c>
      <c r="AE68" s="110">
        <f>IF(AB68=0,0,40)</f>
        <v>0</v>
      </c>
      <c r="AF68" s="79" t="s">
        <v>14</v>
      </c>
      <c r="AG68" s="98">
        <f>ROUND(IF(AB68=0,0,AB68/AE68),2)</f>
        <v>0</v>
      </c>
      <c r="AH68" s="85"/>
      <c r="AI68" s="120">
        <f>ROUND(IF(AB68=0,0,AB68/12),2)</f>
        <v>0</v>
      </c>
    </row>
    <row r="69" spans="1:35" ht="11.25" customHeight="1" x14ac:dyDescent="0.2">
      <c r="J69" s="25"/>
      <c r="K69" s="25"/>
      <c r="M69" s="111"/>
      <c r="O69" s="25"/>
      <c r="P69" s="25"/>
      <c r="Q69" s="116"/>
      <c r="S69" s="3"/>
      <c r="T69" s="78"/>
      <c r="U69" s="78"/>
      <c r="V69" s="78"/>
      <c r="W69" s="78"/>
      <c r="X69" s="78"/>
      <c r="Y69" s="78"/>
      <c r="Z69" s="25"/>
      <c r="AA69" s="25"/>
      <c r="AB69" s="25"/>
      <c r="AC69" s="25"/>
      <c r="AD69" s="25"/>
      <c r="AE69" s="111"/>
      <c r="AF69" s="25"/>
      <c r="AG69" s="25"/>
      <c r="AH69" s="25"/>
      <c r="AI69" s="120"/>
    </row>
    <row r="70" spans="1:35" ht="11.25" customHeight="1" x14ac:dyDescent="0.25">
      <c r="B70" s="164" t="str">
        <f>IF('Enrollment Input'!E62=0," ","Summer Juvenile Detention Center")</f>
        <v xml:space="preserve"> </v>
      </c>
      <c r="C70" s="164"/>
      <c r="D70" s="164"/>
      <c r="E70" s="164"/>
      <c r="F70" s="164"/>
      <c r="G70" s="164"/>
      <c r="J70" s="155">
        <f>'Enrollment Input'!G62</f>
        <v>0</v>
      </c>
      <c r="K70" s="155"/>
      <c r="L70" s="16" t="s">
        <v>43</v>
      </c>
      <c r="M70" s="110">
        <f>IF(J70=0,0,40)</f>
        <v>0</v>
      </c>
      <c r="N70" s="14" t="s">
        <v>14</v>
      </c>
      <c r="O70" s="98">
        <f>ROUND(IF(J70=0,0,J70/M70),2)</f>
        <v>0</v>
      </c>
      <c r="P70" s="85"/>
      <c r="Q70" s="116">
        <f>ROUND(IF(J70=0,0,J70/40),2)</f>
        <v>0</v>
      </c>
      <c r="S70" s="3"/>
      <c r="T70" s="157" t="str">
        <f>IF('Enrollment Input'!E62=0," ","Summer Juvenile Detention Center")</f>
        <v xml:space="preserve"> </v>
      </c>
      <c r="U70" s="157"/>
      <c r="V70" s="157"/>
      <c r="W70" s="157"/>
      <c r="X70" s="157"/>
      <c r="Y70" s="157"/>
      <c r="Z70" s="25"/>
      <c r="AA70" s="25"/>
      <c r="AB70" s="155">
        <f>'Enrollment Input'!G62</f>
        <v>0</v>
      </c>
      <c r="AC70" s="155"/>
      <c r="AD70" s="86" t="s">
        <v>43</v>
      </c>
      <c r="AE70" s="110">
        <f>IF(AB70=0,0,40)</f>
        <v>0</v>
      </c>
      <c r="AF70" s="79" t="s">
        <v>14</v>
      </c>
      <c r="AG70" s="98">
        <f>ROUND(IF(AB70=0,0,AB70/AE70),2)</f>
        <v>0</v>
      </c>
      <c r="AH70" s="85"/>
      <c r="AI70" s="120">
        <f>ROUND(IF(AB70=0,0,AB70/12),2)</f>
        <v>0</v>
      </c>
    </row>
    <row r="71" spans="1:35" ht="13.5" customHeight="1" x14ac:dyDescent="0.25">
      <c r="J71" s="101"/>
      <c r="K71" s="101"/>
      <c r="L71" s="16"/>
      <c r="M71" s="101"/>
      <c r="N71" s="14"/>
      <c r="O71" s="101"/>
      <c r="P71" s="1"/>
      <c r="Q71" s="115"/>
      <c r="S71" s="3"/>
      <c r="Z71" s="25"/>
      <c r="AA71" s="25"/>
      <c r="AB71" s="100"/>
      <c r="AC71" s="100"/>
      <c r="AD71" s="86"/>
      <c r="AE71" s="100"/>
      <c r="AF71" s="79"/>
      <c r="AG71" s="100"/>
      <c r="AH71" s="85"/>
      <c r="AI71" s="120"/>
    </row>
    <row r="72" spans="1:35" ht="18.75" customHeight="1" thickBot="1" x14ac:dyDescent="0.25">
      <c r="A72" s="7"/>
      <c r="B72" s="12" t="s">
        <v>135</v>
      </c>
      <c r="C72" s="1"/>
      <c r="D72" s="1"/>
      <c r="E72" s="1"/>
      <c r="F72" s="1"/>
      <c r="G72" s="1"/>
      <c r="H72" s="1"/>
      <c r="I72" s="1"/>
      <c r="J72" s="1"/>
      <c r="K72" s="1"/>
      <c r="M72" s="17" t="s">
        <v>14</v>
      </c>
      <c r="N72" s="162">
        <f>ROUND(IF(SUM(O6:O70)=0,0,SUM(O6:O70)),2)</f>
        <v>0</v>
      </c>
      <c r="O72" s="162"/>
      <c r="Q72" s="115"/>
      <c r="S72" s="7"/>
      <c r="T72" s="12" t="s">
        <v>124</v>
      </c>
      <c r="U72" s="1"/>
      <c r="V72" s="1"/>
      <c r="W72" s="1"/>
      <c r="X72" s="1"/>
      <c r="Y72" s="1"/>
      <c r="Z72" s="85"/>
      <c r="AA72" s="85"/>
      <c r="AB72" s="85"/>
      <c r="AC72" s="85"/>
      <c r="AD72" s="25"/>
      <c r="AE72" s="79" t="s">
        <v>14</v>
      </c>
      <c r="AF72" s="169">
        <f>ROUND(IF(SUM(AG6:AG68)=0,0,SUM(AG6:AG68)),2)</f>
        <v>0</v>
      </c>
      <c r="AG72" s="169"/>
      <c r="AH72" s="25"/>
      <c r="AI72" s="120"/>
    </row>
    <row r="73" spans="1:35" ht="13.5" thickTop="1" x14ac:dyDescent="0.2">
      <c r="B73" s="6"/>
      <c r="C73" s="6"/>
      <c r="D73" s="6"/>
      <c r="E73" s="6"/>
      <c r="F73" s="6"/>
      <c r="G73" s="6"/>
      <c r="H73" s="6"/>
      <c r="I73" s="6"/>
      <c r="J73" s="6"/>
      <c r="K73" s="6"/>
      <c r="L73" s="6"/>
      <c r="M73" s="165" t="str">
        <f>IF(N72=0," ",IF(N72&lt;AF72,"Do Not Use this Calculation","Use this Calculation"))</f>
        <v xml:space="preserve"> </v>
      </c>
      <c r="N73" s="165"/>
      <c r="O73" s="165"/>
      <c r="P73" s="6"/>
      <c r="Q73" s="118"/>
      <c r="S73" s="3"/>
      <c r="Z73" s="25"/>
      <c r="AA73" s="25"/>
      <c r="AB73" s="25"/>
      <c r="AC73" s="25"/>
      <c r="AD73" s="25"/>
      <c r="AE73" s="165" t="str">
        <f>IF(AF72=0," ",IF(AF72&lt;N72,"Do Not Use this Calculation","Use this Calculation"))</f>
        <v xml:space="preserve"> </v>
      </c>
      <c r="AF73" s="165"/>
      <c r="AG73" s="165"/>
      <c r="AH73" s="100"/>
      <c r="AI73" s="120"/>
    </row>
    <row r="74" spans="1:35" x14ac:dyDescent="0.2">
      <c r="C74" s="106"/>
      <c r="D74" s="6"/>
      <c r="E74" s="6"/>
      <c r="F74" s="6"/>
      <c r="G74" s="6"/>
      <c r="H74" s="6"/>
      <c r="I74" s="6"/>
      <c r="J74" s="6"/>
      <c r="K74" s="6"/>
      <c r="L74" s="6"/>
      <c r="M74" s="6"/>
      <c r="N74" s="167"/>
      <c r="O74" s="168"/>
      <c r="P74" s="6"/>
      <c r="Q74" s="118"/>
      <c r="S74" s="3"/>
      <c r="U74" s="10"/>
      <c r="Z74" s="25"/>
      <c r="AA74" s="25"/>
      <c r="AB74" s="25"/>
      <c r="AC74" s="25"/>
      <c r="AD74" s="25"/>
      <c r="AE74" s="25"/>
      <c r="AF74" s="88"/>
      <c r="AG74" s="89"/>
      <c r="AH74" s="25"/>
      <c r="AI74" s="120"/>
    </row>
    <row r="75" spans="1:35" x14ac:dyDescent="0.2">
      <c r="B75" s="107" t="s">
        <v>136</v>
      </c>
      <c r="C75" s="108"/>
      <c r="D75" s="6"/>
      <c r="E75" s="6"/>
      <c r="F75" s="6"/>
      <c r="G75" s="6"/>
      <c r="H75" s="6"/>
      <c r="I75" s="6"/>
      <c r="J75" s="6"/>
      <c r="K75" s="6"/>
      <c r="L75" s="6"/>
      <c r="M75" s="6"/>
      <c r="N75" s="101"/>
      <c r="O75" s="101"/>
      <c r="P75" s="6"/>
      <c r="Q75" s="118"/>
      <c r="S75" s="3"/>
      <c r="T75" s="107" t="s">
        <v>136</v>
      </c>
      <c r="Z75" s="25"/>
      <c r="AA75" s="25"/>
      <c r="AB75" s="25"/>
      <c r="AC75" s="25"/>
      <c r="AD75" s="25"/>
      <c r="AE75" s="25"/>
      <c r="AF75" s="79"/>
      <c r="AG75" s="79"/>
      <c r="AH75" s="25"/>
      <c r="AI75" s="120"/>
    </row>
    <row r="76" spans="1:35" ht="15.75" customHeight="1" x14ac:dyDescent="0.2">
      <c r="B76" s="9"/>
      <c r="C76" s="6"/>
      <c r="D76" s="6"/>
      <c r="E76" s="6"/>
      <c r="F76" s="6"/>
      <c r="G76" s="6"/>
      <c r="H76" s="6"/>
      <c r="I76" s="6"/>
      <c r="J76" s="6"/>
      <c r="K76" s="6"/>
      <c r="L76" s="6"/>
      <c r="M76" s="6"/>
      <c r="N76" s="166"/>
      <c r="O76" s="166"/>
      <c r="P76" s="6"/>
      <c r="Q76" s="118"/>
      <c r="S76" s="3"/>
      <c r="T76" s="1"/>
      <c r="Z76" s="25"/>
      <c r="AA76" s="25"/>
      <c r="AB76" s="25"/>
      <c r="AC76" s="25"/>
      <c r="AD76" s="25"/>
      <c r="AE76" s="25"/>
      <c r="AF76" s="171"/>
      <c r="AG76" s="171"/>
      <c r="AH76" s="25"/>
      <c r="AI76" s="120"/>
    </row>
    <row r="77" spans="1:35" x14ac:dyDescent="0.2">
      <c r="B77" s="6"/>
      <c r="C77" s="6"/>
      <c r="D77" s="6"/>
      <c r="E77" s="6"/>
      <c r="F77" s="6"/>
      <c r="G77" s="6"/>
      <c r="H77" s="6"/>
      <c r="I77" s="6"/>
      <c r="J77" s="6"/>
      <c r="K77" s="6"/>
      <c r="L77" s="6"/>
      <c r="M77" s="6"/>
      <c r="N77" s="6"/>
      <c r="O77" s="6"/>
      <c r="P77" s="6"/>
      <c r="Q77" s="118"/>
      <c r="Z77" s="25"/>
      <c r="AA77" s="25"/>
      <c r="AB77" s="25"/>
      <c r="AC77" s="25"/>
      <c r="AD77" s="25"/>
      <c r="AE77" s="25"/>
      <c r="AF77" s="25"/>
      <c r="AG77" s="25"/>
      <c r="AH77" s="25"/>
      <c r="AI77" s="120"/>
    </row>
    <row r="78" spans="1:35" x14ac:dyDescent="0.2">
      <c r="AI78" s="119"/>
    </row>
  </sheetData>
  <sheetProtection algorithmName="SHA-512" hashValue="J0WY2xE2E32RN2rLOUlEFD0a9m7/PVPo18+RiVrQHwkhTRFuLvnTZUSLYUNfbl8YeDyJWIAMBj8RsGniuNQCUw==" saltValue="8HL1s9ng/va/ghHId2G/+Q==" spinCount="100000" sheet="1" objects="1" scenarios="1"/>
  <mergeCells count="111">
    <mergeCell ref="N72:O72"/>
    <mergeCell ref="AF72:AG72"/>
    <mergeCell ref="M73:O73"/>
    <mergeCell ref="AE73:AG73"/>
    <mergeCell ref="N74:O74"/>
    <mergeCell ref="N76:O76"/>
    <mergeCell ref="AF76:AG76"/>
    <mergeCell ref="B68:G68"/>
    <mergeCell ref="J68:K68"/>
    <mergeCell ref="T68:Y68"/>
    <mergeCell ref="AB68:AC68"/>
    <mergeCell ref="B70:G70"/>
    <mergeCell ref="J70:K70"/>
    <mergeCell ref="T70:Y70"/>
    <mergeCell ref="AB70:AC70"/>
    <mergeCell ref="B63:G63"/>
    <mergeCell ref="J63:K63"/>
    <mergeCell ref="T63:Y63"/>
    <mergeCell ref="AB63:AC63"/>
    <mergeCell ref="B66:G66"/>
    <mergeCell ref="J66:K66"/>
    <mergeCell ref="T66:Y66"/>
    <mergeCell ref="AB66:AC66"/>
    <mergeCell ref="B59:G59"/>
    <mergeCell ref="J59:K59"/>
    <mergeCell ref="T59:Y59"/>
    <mergeCell ref="AB59:AC59"/>
    <mergeCell ref="B60:G60"/>
    <mergeCell ref="J60:K60"/>
    <mergeCell ref="T60:Y60"/>
    <mergeCell ref="AB60:AC60"/>
    <mergeCell ref="B55:G55"/>
    <mergeCell ref="J55:K55"/>
    <mergeCell ref="T55:Y55"/>
    <mergeCell ref="AB55:AC55"/>
    <mergeCell ref="B57:G57"/>
    <mergeCell ref="J57:K57"/>
    <mergeCell ref="T57:Y57"/>
    <mergeCell ref="AB57:AC57"/>
    <mergeCell ref="B51:G51"/>
    <mergeCell ref="J51:K51"/>
    <mergeCell ref="T51:Y51"/>
    <mergeCell ref="AB51:AC51"/>
    <mergeCell ref="B53:G53"/>
    <mergeCell ref="J53:K53"/>
    <mergeCell ref="T53:Y53"/>
    <mergeCell ref="AB53:AC53"/>
    <mergeCell ref="B47:G47"/>
    <mergeCell ref="J47:K47"/>
    <mergeCell ref="T47:Y47"/>
    <mergeCell ref="AB47:AC47"/>
    <mergeCell ref="B49:G49"/>
    <mergeCell ref="J49:K49"/>
    <mergeCell ref="T49:Y49"/>
    <mergeCell ref="AB49:AC49"/>
    <mergeCell ref="B43:G43"/>
    <mergeCell ref="J43:K43"/>
    <mergeCell ref="T43:Y43"/>
    <mergeCell ref="AB43:AC43"/>
    <mergeCell ref="B45:G45"/>
    <mergeCell ref="J45:K45"/>
    <mergeCell ref="T45:Y45"/>
    <mergeCell ref="AB45:AC45"/>
    <mergeCell ref="B39:G39"/>
    <mergeCell ref="J39:K39"/>
    <mergeCell ref="T39:Y39"/>
    <mergeCell ref="AB39:AC39"/>
    <mergeCell ref="B41:G41"/>
    <mergeCell ref="J41:K41"/>
    <mergeCell ref="T41:Y41"/>
    <mergeCell ref="AB41:AC41"/>
    <mergeCell ref="B35:G35"/>
    <mergeCell ref="J35:K35"/>
    <mergeCell ref="T35:Y35"/>
    <mergeCell ref="AB35:AC35"/>
    <mergeCell ref="B37:G37"/>
    <mergeCell ref="J37:K37"/>
    <mergeCell ref="T37:Y37"/>
    <mergeCell ref="AB37:AC37"/>
    <mergeCell ref="J29:K29"/>
    <mergeCell ref="AB29:AC29"/>
    <mergeCell ref="B33:G33"/>
    <mergeCell ref="J33:K33"/>
    <mergeCell ref="T33:Y33"/>
    <mergeCell ref="AB33:AC33"/>
    <mergeCell ref="J21:K21"/>
    <mergeCell ref="AB21:AC21"/>
    <mergeCell ref="J23:K23"/>
    <mergeCell ref="AB23:AC23"/>
    <mergeCell ref="J25:K25"/>
    <mergeCell ref="AB25:AC25"/>
    <mergeCell ref="J17:K17"/>
    <mergeCell ref="AB17:AC17"/>
    <mergeCell ref="J4:K4"/>
    <mergeCell ref="AB4:AC4"/>
    <mergeCell ref="J6:K6"/>
    <mergeCell ref="AB6:AC6"/>
    <mergeCell ref="J10:K10"/>
    <mergeCell ref="AB10:AC10"/>
    <mergeCell ref="J27:K27"/>
    <mergeCell ref="AB27:AC27"/>
    <mergeCell ref="A1:O1"/>
    <mergeCell ref="S1:AG1"/>
    <mergeCell ref="A2:O2"/>
    <mergeCell ref="S2:AG2"/>
    <mergeCell ref="A3:O3"/>
    <mergeCell ref="S3:AG3"/>
    <mergeCell ref="J12:K12"/>
    <mergeCell ref="AB12:AC12"/>
    <mergeCell ref="J15:K15"/>
    <mergeCell ref="AB15:AC15"/>
  </mergeCells>
  <conditionalFormatting sqref="M15">
    <cfRule type="cellIs" dxfId="6" priority="6" stopIfTrue="1" operator="equal">
      <formula>16.5</formula>
    </cfRule>
  </conditionalFormatting>
  <conditionalFormatting sqref="M35 M41 M47 M53">
    <cfRule type="cellIs" dxfId="5" priority="7" stopIfTrue="1" operator="equal">
      <formula>16.5</formula>
    </cfRule>
  </conditionalFormatting>
  <conditionalFormatting sqref="AE73 AH73">
    <cfRule type="cellIs" dxfId="4" priority="3" stopIfTrue="1" operator="equal">
      <formula>"Do Not Use"</formula>
    </cfRule>
    <cfRule type="cellIs" dxfId="3" priority="4" stopIfTrue="1" operator="equal">
      <formula>"You May Use this Calculation"</formula>
    </cfRule>
  </conditionalFormatting>
  <conditionalFormatting sqref="AE15 AE35 AE41 AE47 AE53">
    <cfRule type="cellIs" dxfId="2" priority="5" stopIfTrue="1" operator="equal">
      <formula>16.5</formula>
    </cfRule>
  </conditionalFormatting>
  <conditionalFormatting sqref="M73">
    <cfRule type="cellIs" dxfId="1" priority="1" stopIfTrue="1" operator="equal">
      <formula>"Do Not Use"</formula>
    </cfRule>
    <cfRule type="cellIs" dxfId="0" priority="2" stopIfTrue="1" operator="equal">
      <formula>"You May Use this Calculation"</formula>
    </cfRule>
  </conditionalFormatting>
  <pageMargins left="0.75" right="0.75" top="1" bottom="1" header="0.5" footer="0.5"/>
  <pageSetup paperSize="5" scale="76" orientation="portrait" r:id="rId1"/>
  <headerFooter alignWithMargins="0">
    <oddFooter>&amp;L&amp;F</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7"/>
  <sheetViews>
    <sheetView showGridLines="0" zoomScaleNormal="100" workbookViewId="0"/>
  </sheetViews>
  <sheetFormatPr defaultRowHeight="12.75" x14ac:dyDescent="0.2"/>
  <cols>
    <col min="1" max="1" width="6" style="3" customWidth="1"/>
    <col min="2" max="2" width="9.140625" customWidth="1"/>
    <col min="6" max="6" width="17.140625" customWidth="1"/>
    <col min="7" max="7" width="2.7109375" style="3" customWidth="1"/>
    <col min="10" max="10" width="6.5703125" customWidth="1"/>
    <col min="11" max="11" width="10.28515625" bestFit="1" customWidth="1"/>
  </cols>
  <sheetData>
    <row r="1" spans="1:11" ht="15.75" x14ac:dyDescent="0.25">
      <c r="I1" s="2"/>
      <c r="K1" s="2"/>
    </row>
    <row r="3" spans="1:11" ht="15.75" x14ac:dyDescent="0.2">
      <c r="A3" s="161" t="s">
        <v>93</v>
      </c>
      <c r="B3" s="161"/>
      <c r="C3" s="161"/>
      <c r="D3" s="161"/>
      <c r="E3" s="161"/>
      <c r="F3" s="161"/>
      <c r="G3" s="161"/>
      <c r="H3" s="161"/>
      <c r="I3" s="161"/>
      <c r="J3" s="172"/>
      <c r="K3" s="172"/>
    </row>
    <row r="5" spans="1:11" ht="15.75" x14ac:dyDescent="0.2">
      <c r="A5" s="161" t="s">
        <v>0</v>
      </c>
      <c r="B5" s="161"/>
      <c r="C5" s="161"/>
      <c r="D5" s="161"/>
      <c r="E5" s="161"/>
      <c r="F5" s="161"/>
      <c r="G5" s="161"/>
      <c r="H5" s="161"/>
      <c r="I5" s="161"/>
      <c r="J5" s="173"/>
      <c r="K5" s="172"/>
    </row>
    <row r="6" spans="1:11" x14ac:dyDescent="0.2">
      <c r="K6" t="s">
        <v>15</v>
      </c>
    </row>
    <row r="7" spans="1:11" x14ac:dyDescent="0.2">
      <c r="K7" t="s">
        <v>16</v>
      </c>
    </row>
    <row r="8" spans="1:11" ht="15.75" x14ac:dyDescent="0.25">
      <c r="A8" s="4" t="s">
        <v>1</v>
      </c>
    </row>
    <row r="9" spans="1:11" ht="8.25" customHeight="1" x14ac:dyDescent="0.25">
      <c r="A9" s="4"/>
    </row>
    <row r="10" spans="1:11" ht="15" x14ac:dyDescent="0.2">
      <c r="A10" s="7" t="s">
        <v>2</v>
      </c>
      <c r="B10" s="1" t="s">
        <v>94</v>
      </c>
      <c r="C10" s="1"/>
      <c r="D10" s="1"/>
      <c r="E10" s="1"/>
      <c r="F10" s="1"/>
      <c r="G10" s="7" t="s">
        <v>14</v>
      </c>
      <c r="H10" s="174">
        <f>IF('Enrollment Input'!C16+'Enrollment Input'!C19+'Enrollment Input'!C26+'Enrollment Input'!C30+'Enrollment Input'!C34+'Enrollment Input'!C38+'Enrollment Input'!C44=0,0,SUM('Enrollment Input'!C16+'Enrollment Input'!C19+'Enrollment Input'!C26+0.5*'Enrollment Input'!C27+'Enrollment Input'!C30+0.5*'Enrollment Input'!C31+'Enrollment Input'!C34+0.5*'Enrollment Input'!C35+'Enrollment Input'!C38+0.5*'Enrollment Input'!C39+'Enrollment Input'!C44+'Enrollment Input'!C45))</f>
        <v>0</v>
      </c>
      <c r="I10" s="174"/>
      <c r="J10" s="8"/>
      <c r="K10" s="19">
        <f>IF(H10=0,0,(H10/($H$10+$H$13)))</f>
        <v>0</v>
      </c>
    </row>
    <row r="11" spans="1:11" ht="7.5" customHeight="1" x14ac:dyDescent="0.2">
      <c r="H11" s="20"/>
      <c r="I11" s="20"/>
    </row>
    <row r="12" spans="1:11" s="1" customFormat="1" ht="15" x14ac:dyDescent="0.2">
      <c r="A12" s="7" t="s">
        <v>3</v>
      </c>
      <c r="B12" s="1" t="s">
        <v>95</v>
      </c>
      <c r="G12" s="7"/>
      <c r="H12" s="21"/>
      <c r="I12" s="21"/>
    </row>
    <row r="13" spans="1:11" ht="15" x14ac:dyDescent="0.2">
      <c r="B13" s="10" t="s">
        <v>4</v>
      </c>
      <c r="G13" s="3" t="s">
        <v>14</v>
      </c>
      <c r="H13" s="174">
        <f>IF('Enrollment Input'!C20+'Enrollment Input'!C46=0,0,SUM('Enrollment Input'!C20+0.5*'Enrollment Input'!C27+0.5*'Enrollment Input'!C31+0.5*'Enrollment Input'!C35+0.5*'Enrollment Input'!C39+'Enrollment Input'!C46))</f>
        <v>0</v>
      </c>
      <c r="I13" s="174"/>
      <c r="J13" s="5"/>
      <c r="K13" s="19">
        <f>IF(H13=0,0,(H13/($H$10+$H$13)))</f>
        <v>0</v>
      </c>
    </row>
    <row r="14" spans="1:11" ht="6.75" customHeight="1" x14ac:dyDescent="0.2">
      <c r="H14" s="20"/>
      <c r="I14" s="20"/>
    </row>
    <row r="15" spans="1:11" s="1" customFormat="1" ht="15" x14ac:dyDescent="0.2">
      <c r="A15" s="7" t="s">
        <v>5</v>
      </c>
      <c r="B15" s="1" t="s">
        <v>6</v>
      </c>
      <c r="G15" s="7"/>
      <c r="H15" s="21"/>
      <c r="I15" s="21"/>
    </row>
    <row r="16" spans="1:11" s="1" customFormat="1" ht="15" x14ac:dyDescent="0.2">
      <c r="A16" s="7"/>
      <c r="B16" s="1" t="s">
        <v>7</v>
      </c>
      <c r="G16" s="7" t="s">
        <v>14</v>
      </c>
      <c r="H16" s="175">
        <f>IF('Enrollment Input'!C65=0,0,SUM('Enrollment Input'!C65))</f>
        <v>0</v>
      </c>
      <c r="I16" s="175"/>
      <c r="J16" s="8"/>
      <c r="K16" s="9"/>
    </row>
    <row r="17" spans="1:11" ht="6.75" customHeight="1" x14ac:dyDescent="0.2">
      <c r="H17" s="20"/>
      <c r="I17" s="20"/>
      <c r="K17" s="6"/>
    </row>
    <row r="18" spans="1:11" s="1" customFormat="1" ht="15" x14ac:dyDescent="0.2">
      <c r="A18" s="7" t="s">
        <v>8</v>
      </c>
      <c r="B18" s="1" t="s">
        <v>9</v>
      </c>
      <c r="G18" s="7" t="s">
        <v>14</v>
      </c>
      <c r="H18" s="174">
        <f>H10+H13-H16</f>
        <v>0</v>
      </c>
      <c r="I18" s="174"/>
      <c r="J18" s="8"/>
      <c r="K18" s="9"/>
    </row>
    <row r="19" spans="1:11" ht="6.75" customHeight="1" x14ac:dyDescent="0.2">
      <c r="H19" s="25"/>
      <c r="I19" s="25"/>
      <c r="K19" s="6"/>
    </row>
    <row r="20" spans="1:11" s="1" customFormat="1" ht="15" x14ac:dyDescent="0.2">
      <c r="A20" s="7" t="s">
        <v>10</v>
      </c>
      <c r="B20" s="1" t="s">
        <v>11</v>
      </c>
      <c r="G20" s="7" t="s">
        <v>14</v>
      </c>
      <c r="H20" s="174">
        <f>H18*0.06</f>
        <v>0</v>
      </c>
      <c r="I20" s="174"/>
      <c r="J20" s="8"/>
      <c r="K20" s="9"/>
    </row>
    <row r="21" spans="1:11" ht="6.75" customHeight="1" x14ac:dyDescent="0.2">
      <c r="H21" s="25"/>
      <c r="I21" s="25"/>
      <c r="K21" s="6"/>
    </row>
    <row r="22" spans="1:11" s="1" customFormat="1" ht="15" x14ac:dyDescent="0.2">
      <c r="A22" s="7" t="s">
        <v>12</v>
      </c>
      <c r="B22" s="1" t="s">
        <v>44</v>
      </c>
      <c r="G22" s="7" t="s">
        <v>14</v>
      </c>
      <c r="H22" s="174">
        <f>H16+H20</f>
        <v>0</v>
      </c>
      <c r="I22" s="174"/>
      <c r="J22" s="8"/>
      <c r="K22" s="9"/>
    </row>
    <row r="23" spans="1:11" s="1" customFormat="1" ht="15" x14ac:dyDescent="0.2">
      <c r="A23" s="7"/>
      <c r="B23" s="1" t="s">
        <v>13</v>
      </c>
      <c r="G23" s="7"/>
      <c r="H23" s="21"/>
      <c r="I23" s="21"/>
    </row>
    <row r="24" spans="1:11" s="1" customFormat="1" ht="15" x14ac:dyDescent="0.2">
      <c r="A24" s="7"/>
      <c r="G24" s="7"/>
      <c r="H24" s="21"/>
      <c r="I24" s="21"/>
    </row>
    <row r="25" spans="1:11" s="1" customFormat="1" ht="15" x14ac:dyDescent="0.2">
      <c r="A25" s="7" t="s">
        <v>56</v>
      </c>
      <c r="B25" s="22">
        <f>K10</f>
        <v>0</v>
      </c>
      <c r="C25" s="23" t="s">
        <v>54</v>
      </c>
      <c r="D25" s="24">
        <f>H22</f>
        <v>0</v>
      </c>
      <c r="E25" s="1" t="s">
        <v>55</v>
      </c>
      <c r="G25" s="7" t="s">
        <v>14</v>
      </c>
      <c r="H25" s="174">
        <f>ROUND(SUM(B25*D25),2)</f>
        <v>0</v>
      </c>
      <c r="I25" s="174"/>
    </row>
    <row r="26" spans="1:11" s="1" customFormat="1" ht="15" x14ac:dyDescent="0.2">
      <c r="A26" s="7" t="s">
        <v>57</v>
      </c>
      <c r="B26" s="22">
        <f>K13</f>
        <v>0</v>
      </c>
      <c r="C26" s="23" t="s">
        <v>54</v>
      </c>
      <c r="D26" s="24">
        <f>H22</f>
        <v>0</v>
      </c>
      <c r="E26" s="1" t="s">
        <v>53</v>
      </c>
      <c r="G26" s="7" t="s">
        <v>14</v>
      </c>
      <c r="H26" s="176">
        <f>ROUND(SUM(H22-H25),2)</f>
        <v>0</v>
      </c>
      <c r="I26" s="176"/>
    </row>
    <row r="27" spans="1:11" s="1" customFormat="1" ht="15" x14ac:dyDescent="0.2">
      <c r="A27" s="7"/>
      <c r="G27" s="7"/>
      <c r="H27" s="21"/>
      <c r="I27" s="21"/>
    </row>
    <row r="28" spans="1:11" ht="15.75" x14ac:dyDescent="0.25">
      <c r="A28" s="4" t="s">
        <v>17</v>
      </c>
      <c r="H28" s="20"/>
      <c r="I28" s="20"/>
    </row>
    <row r="29" spans="1:11" ht="6.75" customHeight="1" x14ac:dyDescent="0.2">
      <c r="H29" s="20"/>
      <c r="I29" s="20"/>
    </row>
    <row r="30" spans="1:11" s="1" customFormat="1" ht="15" x14ac:dyDescent="0.2">
      <c r="A30" s="7" t="s">
        <v>18</v>
      </c>
      <c r="B30" s="1" t="s">
        <v>96</v>
      </c>
      <c r="G30" s="7"/>
      <c r="H30" s="21"/>
      <c r="I30" s="21"/>
    </row>
    <row r="31" spans="1:11" s="1" customFormat="1" ht="15" x14ac:dyDescent="0.2">
      <c r="A31" s="7"/>
      <c r="B31" s="1" t="s">
        <v>19</v>
      </c>
      <c r="G31" s="7" t="s">
        <v>14</v>
      </c>
      <c r="H31" s="174">
        <f>IF('Enrollment Input'!$C$22=0,0,SUM('Enrollment Input'!C22+'Enrollment Input'!C28+'Enrollment Input'!C32+'Enrollment Input'!C36+'Enrollment Input'!C40+'Enrollment Input'!C47))</f>
        <v>0</v>
      </c>
      <c r="I31" s="174"/>
    </row>
    <row r="32" spans="1:11" s="1" customFormat="1" ht="15" x14ac:dyDescent="0.2">
      <c r="A32" s="7"/>
      <c r="B32" s="10" t="s">
        <v>20</v>
      </c>
      <c r="G32" s="7"/>
      <c r="H32" s="21"/>
      <c r="I32" s="21"/>
    </row>
    <row r="33" spans="1:9" s="1" customFormat="1" ht="15" x14ac:dyDescent="0.2">
      <c r="A33" s="7"/>
      <c r="B33" s="10" t="s">
        <v>21</v>
      </c>
      <c r="G33" s="7"/>
      <c r="H33" s="21"/>
      <c r="I33" s="21"/>
    </row>
    <row r="34" spans="1:9" ht="6.75" customHeight="1" x14ac:dyDescent="0.2">
      <c r="H34" s="20"/>
      <c r="I34" s="20"/>
    </row>
    <row r="35" spans="1:9" s="1" customFormat="1" ht="15" x14ac:dyDescent="0.2">
      <c r="A35" s="7" t="s">
        <v>22</v>
      </c>
      <c r="B35" s="1" t="s">
        <v>48</v>
      </c>
      <c r="G35" s="7"/>
      <c r="H35" s="21"/>
      <c r="I35" s="21"/>
    </row>
    <row r="36" spans="1:9" s="1" customFormat="1" ht="15" x14ac:dyDescent="0.2">
      <c r="A36" s="7"/>
      <c r="B36" s="1" t="s">
        <v>45</v>
      </c>
      <c r="G36" s="7"/>
      <c r="H36" s="21"/>
      <c r="I36" s="21"/>
    </row>
    <row r="37" spans="1:9" s="1" customFormat="1" ht="15" x14ac:dyDescent="0.2">
      <c r="A37" s="7"/>
      <c r="B37" s="10" t="s">
        <v>23</v>
      </c>
      <c r="G37" s="7" t="s">
        <v>14</v>
      </c>
      <c r="H37" s="174">
        <f>IF('Enrollment Input'!C66=0,0,SUM('Enrollment Input'!C66))</f>
        <v>0</v>
      </c>
      <c r="I37" s="174"/>
    </row>
    <row r="38" spans="1:9" ht="6.75" customHeight="1" x14ac:dyDescent="0.2">
      <c r="H38" s="25"/>
      <c r="I38" s="25"/>
    </row>
    <row r="39" spans="1:9" s="1" customFormat="1" ht="15" x14ac:dyDescent="0.2">
      <c r="A39" s="7" t="s">
        <v>24</v>
      </c>
      <c r="B39" s="1" t="s">
        <v>25</v>
      </c>
      <c r="G39" s="7" t="s">
        <v>14</v>
      </c>
      <c r="H39" s="174">
        <f>IF('Enrollment Input'!$C$22+'Enrollment Input'!$C$28=0,0,SUM(H31-H37))</f>
        <v>0</v>
      </c>
      <c r="I39" s="174"/>
    </row>
    <row r="40" spans="1:9" ht="6.75" customHeight="1" x14ac:dyDescent="0.2">
      <c r="H40" s="25"/>
      <c r="I40" s="25"/>
    </row>
    <row r="41" spans="1:9" s="1" customFormat="1" ht="15" x14ac:dyDescent="0.2">
      <c r="A41" s="7" t="s">
        <v>26</v>
      </c>
      <c r="B41" s="1" t="s">
        <v>27</v>
      </c>
      <c r="G41" s="7" t="s">
        <v>14</v>
      </c>
      <c r="H41" s="174">
        <f>IF('Enrollment Input'!$C$22+'Enrollment Input'!$C$28=0,0,H39*0.055)</f>
        <v>0</v>
      </c>
      <c r="I41" s="174"/>
    </row>
    <row r="42" spans="1:9" ht="6.75" customHeight="1" x14ac:dyDescent="0.2">
      <c r="H42" s="25"/>
      <c r="I42" s="25"/>
    </row>
    <row r="43" spans="1:9" s="1" customFormat="1" ht="15" x14ac:dyDescent="0.2">
      <c r="A43" s="7" t="s">
        <v>28</v>
      </c>
      <c r="B43" s="1" t="s">
        <v>29</v>
      </c>
      <c r="G43" s="7" t="s">
        <v>14</v>
      </c>
      <c r="H43" s="174">
        <f>ROUND(IF('Enrollment Input'!$C$22=0,0,SUM(H37+H41)),2)</f>
        <v>0</v>
      </c>
      <c r="I43" s="174"/>
    </row>
    <row r="44" spans="1:9" s="1" customFormat="1" ht="15" x14ac:dyDescent="0.2">
      <c r="A44" s="7"/>
      <c r="B44" s="1" t="s">
        <v>30</v>
      </c>
      <c r="G44" s="7"/>
    </row>
    <row r="46" spans="1:9" ht="15.75" x14ac:dyDescent="0.25">
      <c r="A46" s="4" t="s">
        <v>31</v>
      </c>
    </row>
    <row r="47" spans="1:9" ht="6.75" customHeight="1" x14ac:dyDescent="0.2"/>
    <row r="48" spans="1:9" s="1" customFormat="1" ht="15" x14ac:dyDescent="0.2">
      <c r="A48" s="7" t="s">
        <v>32</v>
      </c>
      <c r="B48" s="1" t="s">
        <v>97</v>
      </c>
      <c r="G48" s="7"/>
    </row>
    <row r="49" spans="1:9" s="1" customFormat="1" ht="15" x14ac:dyDescent="0.2">
      <c r="A49" s="7"/>
      <c r="B49" s="1" t="s">
        <v>46</v>
      </c>
      <c r="G49" s="7"/>
    </row>
    <row r="50" spans="1:9" s="1" customFormat="1" ht="15" x14ac:dyDescent="0.2">
      <c r="A50" s="7"/>
      <c r="B50" s="1" t="s">
        <v>84</v>
      </c>
      <c r="G50" s="7"/>
    </row>
    <row r="51" spans="1:9" s="1" customFormat="1" ht="15" x14ac:dyDescent="0.2">
      <c r="A51" s="7"/>
      <c r="B51" s="1" t="s">
        <v>47</v>
      </c>
      <c r="G51" s="7"/>
    </row>
    <row r="52" spans="1:9" s="1" customFormat="1" ht="15" x14ac:dyDescent="0.2">
      <c r="A52" s="7"/>
      <c r="B52" s="1" t="s">
        <v>33</v>
      </c>
      <c r="G52" s="7"/>
    </row>
    <row r="53" spans="1:9" s="1" customFormat="1" ht="15" x14ac:dyDescent="0.2">
      <c r="A53" s="7"/>
      <c r="B53" s="1" t="s">
        <v>34</v>
      </c>
      <c r="G53" s="7"/>
    </row>
    <row r="54" spans="1:9" ht="6.75" customHeight="1" x14ac:dyDescent="0.2"/>
    <row r="55" spans="1:9" s="1" customFormat="1" ht="15" x14ac:dyDescent="0.2">
      <c r="A55" s="7"/>
      <c r="B55" s="1" t="s">
        <v>35</v>
      </c>
      <c r="G55" s="7" t="s">
        <v>14</v>
      </c>
      <c r="H55" s="175">
        <f>IF('Enrollment Input'!$C$58+'Enrollment Input'!$C$582=0,0,IF('Enrollment Input'!C58&gt;16,('Enrollment Input'!C56*16)/16,SUM(('Enrollment Input'!C56*'Enrollment Input'!C58)/16)))</f>
        <v>0</v>
      </c>
      <c r="I55" s="175"/>
    </row>
    <row r="56" spans="1:9" s="1" customFormat="1" ht="15" x14ac:dyDescent="0.2">
      <c r="A56" s="7"/>
      <c r="B56" s="1" t="s">
        <v>36</v>
      </c>
      <c r="G56" s="7"/>
    </row>
    <row r="57" spans="1:9" s="1" customFormat="1" ht="15" x14ac:dyDescent="0.2">
      <c r="A57" s="7"/>
      <c r="B57" s="1" t="s">
        <v>37</v>
      </c>
      <c r="G57" s="7"/>
    </row>
  </sheetData>
  <sheetProtection algorithmName="SHA-512" hashValue="Q2mPCokcEPAH61Hk+cb55x4/7wvo0ABI7Qu1BlVGHnwASZ/Zu0f0Vd/wVTawl8HZbMpTPuGvaoyJr9oZrDov0Q==" saltValue="aMWrbgPc6bJkGUMq0vTkOg==" spinCount="100000" sheet="1" objects="1" scenarios="1"/>
  <mergeCells count="16">
    <mergeCell ref="H41:I41"/>
    <mergeCell ref="H43:I43"/>
    <mergeCell ref="H55:I55"/>
    <mergeCell ref="H18:I18"/>
    <mergeCell ref="H20:I20"/>
    <mergeCell ref="H22:I22"/>
    <mergeCell ref="A3:K3"/>
    <mergeCell ref="A5:K5"/>
    <mergeCell ref="H37:I37"/>
    <mergeCell ref="H39:I39"/>
    <mergeCell ref="H10:I10"/>
    <mergeCell ref="H13:I13"/>
    <mergeCell ref="H16:I16"/>
    <mergeCell ref="H31:I31"/>
    <mergeCell ref="H25:I25"/>
    <mergeCell ref="H26:I26"/>
  </mergeCells>
  <phoneticPr fontId="0" type="noConversion"/>
  <pageMargins left="0.75" right="0.75" top="1" bottom="1" header="0.5" footer="0.5"/>
  <pageSetup scale="90"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1"/>
  <sheetViews>
    <sheetView workbookViewId="0"/>
  </sheetViews>
  <sheetFormatPr defaultRowHeight="12.75" x14ac:dyDescent="0.2"/>
  <cols>
    <col min="1" max="1" width="4.5703125" style="10" customWidth="1"/>
    <col min="2" max="3" width="6.85546875" style="10" customWidth="1"/>
    <col min="4" max="4" width="3.140625" style="10" customWidth="1"/>
    <col min="5" max="5" width="4.28515625" style="10" customWidth="1"/>
    <col min="6" max="6" width="5.42578125" style="10" customWidth="1"/>
    <col min="7" max="7" width="7.7109375" style="10" customWidth="1"/>
    <col min="8" max="8" width="5.140625" style="10" customWidth="1"/>
    <col min="9" max="9" width="7" style="10" customWidth="1"/>
    <col min="10" max="10" width="5.28515625" style="10" customWidth="1"/>
    <col min="11" max="11" width="7" style="10" customWidth="1"/>
    <col min="12" max="12" width="4.140625" style="10" customWidth="1"/>
    <col min="13" max="13" width="6.7109375" style="10" customWidth="1"/>
    <col min="14" max="14" width="5.42578125" style="10" customWidth="1"/>
    <col min="15" max="15" width="7" style="10" customWidth="1"/>
    <col min="16" max="16" width="5.140625" style="10" customWidth="1"/>
    <col min="17" max="17" width="4.85546875" style="10" customWidth="1"/>
    <col min="18" max="18" width="5.85546875" style="10" customWidth="1"/>
    <col min="19" max="19" width="7.42578125" style="10" customWidth="1"/>
    <col min="20" max="20" width="4" style="10" customWidth="1"/>
    <col min="21" max="21" width="6.42578125" style="10" customWidth="1"/>
    <col min="22" max="22" width="5.85546875" style="10" customWidth="1"/>
    <col min="23" max="23" width="6.7109375" style="10" customWidth="1"/>
    <col min="24" max="24" width="4.140625" style="10" customWidth="1"/>
    <col min="25" max="25" width="7.140625" style="10" customWidth="1"/>
    <col min="26" max="28" width="9.140625" style="10" customWidth="1"/>
  </cols>
  <sheetData>
    <row r="1" spans="1:27" x14ac:dyDescent="0.2">
      <c r="A1" s="10" t="s">
        <v>58</v>
      </c>
      <c r="E1" s="10" t="s">
        <v>60</v>
      </c>
      <c r="I1" s="10" t="s">
        <v>62</v>
      </c>
      <c r="M1" s="10" t="s">
        <v>67</v>
      </c>
      <c r="Q1" s="10" t="s">
        <v>17</v>
      </c>
      <c r="U1" s="10" t="s">
        <v>63</v>
      </c>
      <c r="Y1" s="10" t="s">
        <v>68</v>
      </c>
    </row>
    <row r="2" spans="1:27" x14ac:dyDescent="0.2">
      <c r="A2" s="34" t="s">
        <v>59</v>
      </c>
      <c r="B2" s="34" t="s">
        <v>61</v>
      </c>
      <c r="C2" s="34" t="s">
        <v>71</v>
      </c>
      <c r="E2" s="34" t="s">
        <v>59</v>
      </c>
      <c r="F2" s="34" t="s">
        <v>61</v>
      </c>
      <c r="G2" s="34" t="s">
        <v>71</v>
      </c>
      <c r="I2" s="34" t="s">
        <v>59</v>
      </c>
      <c r="J2" s="34" t="s">
        <v>61</v>
      </c>
      <c r="K2" s="34" t="s">
        <v>71</v>
      </c>
      <c r="M2" s="34" t="s">
        <v>59</v>
      </c>
      <c r="N2" s="34" t="s">
        <v>61</v>
      </c>
      <c r="O2" s="34" t="s">
        <v>71</v>
      </c>
      <c r="P2" s="34"/>
      <c r="Q2" s="34" t="s">
        <v>59</v>
      </c>
      <c r="R2" s="34" t="s">
        <v>61</v>
      </c>
      <c r="S2" s="34" t="s">
        <v>71</v>
      </c>
      <c r="U2" s="34" t="s">
        <v>59</v>
      </c>
      <c r="V2" s="34" t="s">
        <v>61</v>
      </c>
      <c r="W2" s="34" t="s">
        <v>71</v>
      </c>
      <c r="Y2" s="34" t="s">
        <v>69</v>
      </c>
      <c r="Z2" s="34" t="s">
        <v>70</v>
      </c>
      <c r="AA2" s="34" t="s">
        <v>71</v>
      </c>
    </row>
    <row r="3" spans="1:27" x14ac:dyDescent="0.2">
      <c r="A3" s="35">
        <v>0</v>
      </c>
      <c r="B3" s="35">
        <v>0</v>
      </c>
      <c r="C3" s="35">
        <v>0</v>
      </c>
      <c r="E3" s="35">
        <v>0</v>
      </c>
      <c r="F3" s="35">
        <v>0</v>
      </c>
      <c r="G3" s="35">
        <v>0</v>
      </c>
      <c r="I3" s="35">
        <v>0</v>
      </c>
      <c r="J3" s="35">
        <v>0</v>
      </c>
      <c r="K3" s="35">
        <v>0</v>
      </c>
      <c r="M3" s="35">
        <v>0</v>
      </c>
      <c r="N3" s="35">
        <v>0</v>
      </c>
      <c r="O3" s="35">
        <v>0</v>
      </c>
      <c r="P3" s="34"/>
      <c r="Q3" s="35">
        <v>0</v>
      </c>
      <c r="R3" s="35">
        <v>0</v>
      </c>
      <c r="S3" s="35">
        <v>0</v>
      </c>
      <c r="U3" s="35">
        <v>0</v>
      </c>
      <c r="V3" s="35">
        <v>0</v>
      </c>
      <c r="W3" s="35">
        <v>0</v>
      </c>
      <c r="Y3" s="35">
        <v>8</v>
      </c>
      <c r="Z3" s="35">
        <v>16</v>
      </c>
      <c r="AA3" s="35">
        <v>0</v>
      </c>
    </row>
    <row r="4" spans="1:27" x14ac:dyDescent="0.2">
      <c r="A4" s="10">
        <v>1</v>
      </c>
      <c r="B4" s="10">
        <v>0</v>
      </c>
      <c r="C4" s="10">
        <v>0</v>
      </c>
      <c r="E4" s="10">
        <v>1</v>
      </c>
      <c r="F4" s="10">
        <v>12</v>
      </c>
      <c r="G4" s="10">
        <v>1</v>
      </c>
      <c r="I4" s="10">
        <v>1</v>
      </c>
      <c r="J4" s="10">
        <v>12</v>
      </c>
      <c r="K4" s="10">
        <v>1</v>
      </c>
      <c r="M4" s="10">
        <v>1</v>
      </c>
      <c r="N4" s="10">
        <v>16.5</v>
      </c>
      <c r="O4" s="10">
        <v>1</v>
      </c>
      <c r="Q4" s="10">
        <v>1</v>
      </c>
      <c r="R4" s="10">
        <v>12</v>
      </c>
      <c r="S4" s="10">
        <v>0</v>
      </c>
      <c r="U4" s="10">
        <v>1</v>
      </c>
      <c r="V4" s="10">
        <v>14.5</v>
      </c>
      <c r="W4" s="10">
        <v>0.25</v>
      </c>
      <c r="Y4" s="10">
        <v>9</v>
      </c>
      <c r="Z4" s="10">
        <v>14</v>
      </c>
      <c r="AA4" s="10">
        <v>0</v>
      </c>
    </row>
    <row r="5" spans="1:27" x14ac:dyDescent="0.2">
      <c r="A5" s="10">
        <v>8</v>
      </c>
      <c r="B5" s="10">
        <v>40</v>
      </c>
      <c r="C5" s="10">
        <v>0.5</v>
      </c>
      <c r="E5" s="10">
        <v>16.600000000000001</v>
      </c>
      <c r="F5" s="10">
        <v>12</v>
      </c>
      <c r="G5" s="10">
        <v>1.4</v>
      </c>
      <c r="I5" s="10">
        <v>16.600000000000001</v>
      </c>
      <c r="J5" s="10">
        <v>12</v>
      </c>
      <c r="K5" s="10">
        <v>1.4</v>
      </c>
      <c r="M5" s="10">
        <v>16.600000000000001</v>
      </c>
      <c r="N5" s="10">
        <v>12</v>
      </c>
      <c r="O5" s="10">
        <v>1.4</v>
      </c>
      <c r="Q5" s="10">
        <v>100</v>
      </c>
      <c r="R5" s="10">
        <v>12</v>
      </c>
      <c r="S5" s="10">
        <v>9</v>
      </c>
      <c r="U5" s="10">
        <v>4</v>
      </c>
      <c r="V5" s="10">
        <v>14.5</v>
      </c>
      <c r="W5" s="10">
        <v>0.5</v>
      </c>
      <c r="Y5" s="10">
        <v>12</v>
      </c>
      <c r="Z5" s="10">
        <v>0</v>
      </c>
      <c r="AA5" s="10">
        <v>8</v>
      </c>
    </row>
    <row r="6" spans="1:27" x14ac:dyDescent="0.2">
      <c r="A6" s="10">
        <v>16</v>
      </c>
      <c r="B6" s="10">
        <v>40</v>
      </c>
      <c r="C6" s="10">
        <v>0.6</v>
      </c>
      <c r="E6" s="10">
        <v>33.6</v>
      </c>
      <c r="F6" s="10">
        <v>13</v>
      </c>
      <c r="G6" s="10">
        <v>2.8</v>
      </c>
      <c r="I6" s="10">
        <v>33.6</v>
      </c>
      <c r="J6" s="10">
        <v>13</v>
      </c>
      <c r="K6" s="10">
        <v>2.8</v>
      </c>
      <c r="M6" s="10">
        <v>33.6</v>
      </c>
      <c r="N6" s="10">
        <v>13</v>
      </c>
      <c r="O6" s="10">
        <v>2.8</v>
      </c>
      <c r="Q6" s="10">
        <v>200</v>
      </c>
      <c r="R6" s="10">
        <v>13.5</v>
      </c>
      <c r="S6" s="10">
        <v>17</v>
      </c>
      <c r="U6" s="10">
        <v>8</v>
      </c>
      <c r="V6" s="10">
        <v>14.5</v>
      </c>
      <c r="W6" s="10">
        <v>0.75</v>
      </c>
    </row>
    <row r="7" spans="1:27" x14ac:dyDescent="0.2">
      <c r="A7" s="10">
        <v>21</v>
      </c>
      <c r="B7" s="10">
        <v>40</v>
      </c>
      <c r="C7" s="10">
        <v>0.75</v>
      </c>
      <c r="E7" s="10">
        <v>51.7</v>
      </c>
      <c r="F7" s="10">
        <v>15</v>
      </c>
      <c r="G7" s="10">
        <v>4</v>
      </c>
      <c r="I7" s="10">
        <v>51.7</v>
      </c>
      <c r="J7" s="10">
        <v>15</v>
      </c>
      <c r="K7" s="10">
        <v>4</v>
      </c>
      <c r="M7" s="10">
        <v>51.7</v>
      </c>
      <c r="N7" s="10">
        <v>15</v>
      </c>
      <c r="O7" s="10">
        <v>4</v>
      </c>
      <c r="Q7" s="10">
        <v>300</v>
      </c>
      <c r="R7" s="10">
        <v>14.5</v>
      </c>
      <c r="S7" s="10">
        <v>22</v>
      </c>
      <c r="U7" s="10">
        <v>12</v>
      </c>
      <c r="V7" s="10">
        <v>14.5</v>
      </c>
      <c r="W7" s="10">
        <v>1</v>
      </c>
    </row>
    <row r="8" spans="1:27" x14ac:dyDescent="0.2">
      <c r="A8" s="10">
        <v>26</v>
      </c>
      <c r="B8" s="10">
        <v>40</v>
      </c>
      <c r="C8" s="10">
        <v>0.85</v>
      </c>
      <c r="E8" s="10">
        <v>71.099999999999994</v>
      </c>
      <c r="F8" s="10">
        <v>16</v>
      </c>
      <c r="G8" s="10">
        <v>4.7</v>
      </c>
      <c r="I8" s="10">
        <v>71.099999999999994</v>
      </c>
      <c r="J8" s="10">
        <v>16</v>
      </c>
      <c r="K8" s="10">
        <v>4.7</v>
      </c>
      <c r="M8" s="10">
        <v>71.099999999999994</v>
      </c>
      <c r="N8" s="10">
        <v>16</v>
      </c>
      <c r="O8" s="10">
        <v>4.7</v>
      </c>
      <c r="Q8" s="10">
        <v>400</v>
      </c>
      <c r="R8" s="10">
        <v>16</v>
      </c>
      <c r="S8" s="10">
        <v>28</v>
      </c>
      <c r="U8" s="10">
        <v>14</v>
      </c>
      <c r="V8" s="10">
        <v>14.5</v>
      </c>
      <c r="W8" s="10">
        <v>1</v>
      </c>
    </row>
    <row r="9" spans="1:27" x14ac:dyDescent="0.2">
      <c r="A9" s="10">
        <v>31</v>
      </c>
      <c r="B9" s="10">
        <v>40</v>
      </c>
      <c r="C9" s="10">
        <v>1</v>
      </c>
      <c r="E9" s="10">
        <v>110</v>
      </c>
      <c r="F9" s="10">
        <v>19</v>
      </c>
      <c r="G9" s="10">
        <v>6.8</v>
      </c>
      <c r="I9" s="10">
        <v>110</v>
      </c>
      <c r="J9" s="10">
        <v>19</v>
      </c>
      <c r="K9" s="10">
        <v>6.8</v>
      </c>
      <c r="M9" s="10">
        <v>110</v>
      </c>
      <c r="N9" s="10">
        <v>19</v>
      </c>
      <c r="O9" s="10">
        <v>6.8</v>
      </c>
      <c r="Q9" s="10">
        <v>750</v>
      </c>
      <c r="R9" s="10">
        <v>18.5</v>
      </c>
      <c r="S9" s="10">
        <v>47</v>
      </c>
    </row>
    <row r="10" spans="1:27" x14ac:dyDescent="0.2">
      <c r="A10" s="10">
        <v>41</v>
      </c>
      <c r="B10" s="10">
        <v>40</v>
      </c>
      <c r="C10" s="10">
        <v>1</v>
      </c>
      <c r="E10" s="10">
        <v>160</v>
      </c>
      <c r="F10" s="10">
        <v>20</v>
      </c>
      <c r="G10" s="10">
        <v>8.4</v>
      </c>
      <c r="I10" s="10">
        <v>160</v>
      </c>
      <c r="J10" s="10">
        <v>20</v>
      </c>
      <c r="K10" s="10">
        <v>8.4</v>
      </c>
      <c r="M10" s="10">
        <v>160</v>
      </c>
      <c r="N10" s="10">
        <v>20</v>
      </c>
      <c r="O10" s="10">
        <v>8.4</v>
      </c>
    </row>
    <row r="11" spans="1:27" x14ac:dyDescent="0.2">
      <c r="E11" s="10">
        <v>300</v>
      </c>
      <c r="F11" s="10">
        <v>20</v>
      </c>
      <c r="G11" s="10">
        <v>15</v>
      </c>
      <c r="I11" s="10">
        <v>300</v>
      </c>
      <c r="J11" s="10">
        <v>23</v>
      </c>
      <c r="K11" s="10">
        <v>15</v>
      </c>
      <c r="M11" s="10">
        <v>300</v>
      </c>
      <c r="N11" s="10">
        <v>23</v>
      </c>
      <c r="O11" s="10">
        <v>15</v>
      </c>
    </row>
  </sheetData>
  <phoneticPr fontId="0" type="noConversion"/>
  <pageMargins left="0.75" right="0.75" top="1" bottom="1" header="0.5" footer="0.5"/>
  <pageSetup orientation="portrait"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Enrollment Input</vt:lpstr>
      <vt:lpstr>Attendance % Assistance</vt:lpstr>
      <vt:lpstr>Midterm Units</vt:lpstr>
      <vt:lpstr>Best 28 Units</vt:lpstr>
      <vt:lpstr>Exceptional Child Calc</vt:lpstr>
      <vt:lpstr>criteria</vt:lpstr>
      <vt:lpstr>criteria!Criteria</vt:lpstr>
      <vt:lpstr>criteria!Extract</vt:lpstr>
      <vt:lpstr>'Best 28 Units'!Print_Area</vt:lpstr>
      <vt:lpstr>'Enrollment Input'!Print_Area</vt:lpstr>
      <vt:lpstr>'Midterm Units'!Print_Area</vt:lpstr>
    </vt:vector>
  </TitlesOfParts>
  <Company>jj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 unit template</dc:title>
  <dc:creator>gberg</dc:creator>
  <cp:keywords>Budget Form</cp:keywords>
  <cp:lastModifiedBy>Dean Reich</cp:lastModifiedBy>
  <cp:lastPrinted>2024-04-01T15:20:10Z</cp:lastPrinted>
  <dcterms:created xsi:type="dcterms:W3CDTF">2003-05-07T20:27:16Z</dcterms:created>
  <dcterms:modified xsi:type="dcterms:W3CDTF">2024-04-16T15:07:14Z</dcterms:modified>
</cp:coreProperties>
</file>